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8100" yWindow="-20100" windowWidth="33800" windowHeight="1860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Comparables" state="visible" r:id="rId14"/>
    <sheet sheetId="12" name="CIQ ID Locater" state="visible" r:id="rId15"/>
    <sheet sheetId="13" name="WACC" state="visible" r:id="rId16"/>
    <sheet sheetId="14" name="Valuation" state="visible" r:id="rId17"/>
    <sheet sheetId="16" name="Charts" state="visible" r:id="rId18"/>
    <sheet sheetId="15" name="Multiples Data" state="visible" r:id="rId19"/>
    <sheet sheetId="17" name="Benchmark" state="visible" r:id="rId20"/>
    <sheet sheetId="18" name="Pre-Earnings" state="visible" r:id="rId21"/>
    <sheet sheetId="19" name="Post-Earnings" state="visible" r:id="rId22"/>
    <sheet sheetId="1" name="Mapping Audit" state="visible" r:id="rId23"/>
  </sheets>
  <definedNames>
    <definedName name="_bdm.146e958bbea04416b86a4d5943392c04.edm">Model!$M$102</definedName>
    <definedName name="_bdm.bf5a9ed53fe44c598e3cfb84ac34b21f.edm">Integrity!$F$37</definedName>
    <definedName name="_xlnm._FilterDatabase">Charts!$C$181:$D$504</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Model!$C$25:$AK$162</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J14">'CIQ ID Locater'!$K$14:$O$14</definedName>
    <definedName name="IQRCIQIDLocaterJ15">'CIQ ID Locater'!$K$15:$O$15</definedName>
    <definedName name="IQRCIQIDLocaterJ16">'CIQ ID Locater'!$K$16:$O$16</definedName>
    <definedName name="IQRCIQIDLocaterJ17">'CIQ ID Locater'!$K$17:$O$17</definedName>
    <definedName name="IQRCIQIDLocaterJ18">'CIQ ID Locater'!$K$18:$O$18</definedName>
    <definedName name="IQRCIQIDLocaterJ19">'CIQ ID Locater'!$K$19:$O$19</definedName>
    <definedName name="IQRCIQIDLocaterJ20">'CIQ ID Locater'!$K$20:$O$20</definedName>
    <definedName name="IQRCIQIDLocaterJ21">'CIQ ID Locater'!$K$21:$O$21</definedName>
    <definedName name="IQRCIQIDLocaterJ22">'CIQ ID Locater'!$K$22:$O$22</definedName>
    <definedName name="IQRCIQIDLocaterJ23">'CIQ ID Locater'!$K$23:$O$23</definedName>
    <definedName name="IQRCIQIDLocaterJ24">'CIQ ID Locater'!$K$24:$O$24</definedName>
    <definedName name="IQRCIQIDLocaterJ25">'CIQ ID Locater'!$K$25:$O$25</definedName>
    <definedName name="IQRCIQIDLocaterJ26">'CIQ ID Locater'!$K$26:$O$26</definedName>
    <definedName name="IQRCIQIDLocaterJ27">'CIQ ID Locater'!$K$27:$O$27</definedName>
    <definedName name="IQRCIQIDLocaterJ28">'CIQ ID Locater'!$K$28:$O$28</definedName>
    <definedName name="IQRCIQIDLocaterJ29">'CIQ ID Locater'!$K$29:$L$29</definedName>
    <definedName name="IQRCIQIDLocaterJ30">'CIQ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IQIDLocaterP14">'CIQ ID Locater'!$Q$14:$U$14</definedName>
    <definedName name="IQRCIQIDLocaterP15">'CIQ ID Locater'!$Q$15:$U$15</definedName>
    <definedName name="IQRCIQIDLocaterP16">'CIQ ID Locater'!$Q$16:$U$16</definedName>
    <definedName name="IQRCIQIDLocaterP17">'CIQ ID Locater'!$Q$17:$U$17</definedName>
    <definedName name="IQRCIQIDLocaterP18">'CIQ ID Locater'!$Q$18:$U$18</definedName>
    <definedName name="IQRCIQIDLocaterP19">'CIQ ID Locater'!$Q$19:$U$19</definedName>
    <definedName name="IQRCIQIDLocaterP20">'CIQ ID Locater'!$Q$20:$U$20</definedName>
    <definedName name="IQRCIQIDLocaterP21">'CIQ ID Locater'!$Q$21:$U$21</definedName>
    <definedName name="IQRCIQIDLocaterP22">'CIQ ID Locater'!$Q$22:$U$22</definedName>
    <definedName name="IQRCIQIDLocaterP23">'CIQ ID Locater'!$Q$23:$U$23</definedName>
    <definedName name="IQRCIQIDLocaterP24">'CIQ ID Locater'!$Q$24:$U$24</definedName>
    <definedName name="IQRCIQIDLocaterP25">'CIQ ID Locater'!$Q$25:$U$25</definedName>
    <definedName name="IQRCIQIDLocaterP26">'CIQ ID Locater'!$Q$26:$U$26</definedName>
    <definedName name="IQRCIQIDLocaterP27">'CIQ ID Locater'!$Q$27:$U$27</definedName>
    <definedName name="IQRCIQIDLocaterP28">'CIQ ID Locater'!$Q$28:$U$28</definedName>
    <definedName name="IQRCIQIDLocaterP29">'CIQ ID Locater'!$Q$29:$R$29</definedName>
    <definedName name="IQRCIQIDLocaterP30">'CIQ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Model!$C$25:$C$162</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Mapped to SEC cost of revenue / cost of sales. Quarterly value was derived from Cost of Goods and Services Sold less 1Q23, 2Q23, 3Q23. Mapped to SEC cost of revenue / cost of sales. Quarterly value was derived from Cost of Goods and Services Sold less 1Q24, 2Q24, 3Q24. Mapped to SEC cost of revenue / cost of sales. Quarterly value was derived from Cost of Goods and Services Sold less 1Q25, 2Q25, 3Q25.</t>
        </r>
      </text>
    </comment>
    <comment ref="F29" authorId="0">
      <text>
        <r>
          <rPr>
            <b/>
          </rPr>
          <t xml:space="preserve">EDGAR Mapper:
</t>
        </r>
        <r>
          <t xml:space="preserve">EDGAR mapping:
Source: 10-Q, accession #0001060391-24-000205, filed 2024-05-01
Period: 1Q23 / period ended 2023-03-31
Model row: Model!29 Cost of Goods Sold
Mapping type: direct
Concepts used: CostOfGoodsAndServicesSold = 2169.5 mm
Unit conversion: raw USD to $mm
Sign: inverted because model expects this row as negative
Confidence: high
Value written: -2169.5</t>
        </r>
      </text>
    </comment>
    <comment ref="G29" authorId="0">
      <text>
        <r>
          <rPr>
            <b/>
          </rPr>
          <t xml:space="preserve">EDGAR Mapper:
</t>
        </r>
        <r>
          <t xml:space="preserve">EDGAR mapping:
Source: 10-Q, accession #0001060391-24-000273, filed 2024-07-25
Period: 2Q23 / period ended 2023-06-30
Model row: Model!29 Cost of Goods Sold
Mapping type: direct
Concepts used: CostOfGoodsAndServicesSold = 2224.4 mm
Unit conversion: raw USD to $mm
Sign: inverted because model expects this row as negative
Confidence: high
Value written: -2224.4</t>
        </r>
      </text>
    </comment>
    <comment ref="H29" authorId="0">
      <text>
        <r>
          <rPr>
            <b/>
          </rPr>
          <t xml:space="preserve">EDGAR Mapper:
</t>
        </r>
        <r>
          <t xml:space="preserve">EDGAR mapping:
Source: 10-Q, accession #0001060391-24-000324, filed 2024-10-30
Period: 3Q23 / period ended 2023-09-30
Model row: Model!29 Cost of Goods Sold
Mapping type: direct
Concepts used: CostOfGoodsAndServicesSold = 2284.3 mm
Unit conversion: raw USD to $mm
Sign: inverted because model expects this row as negative
Confidence: high
Value written: -2284.3</t>
        </r>
      </text>
    </comment>
    <comment ref="I29" authorId="0">
      <text>
        <r>
          <rPr>
            <b/>
          </rPr>
          <t xml:space="preserve">EDGAR Mapper:
</t>
        </r>
        <r>
          <t xml:space="preserve">EDGAR mapping:
Source: SEC filing
Period: 4Q23
Model row: Model!29 Cost of Goods Sold
Mapping type: direct
Concepts used: CostOfGoodsAndServicesSold = 2265 mm
Unit conversion: raw USD to $mm
Sign: inverted because model expects this row as negative
Confidence: high
Value written: -2265
Notes: Mapped to SEC cost of revenue / cost of sales. Quarterly value was derived from Cost of Goods and Services Sold less 1Q23, 2Q23, 3Q23.</t>
        </r>
      </text>
    </comment>
    <comment ref="K29" authorId="0">
      <text>
        <r>
          <rPr>
            <b/>
          </rPr>
          <t xml:space="preserve">EDGAR Mapper:
</t>
        </r>
        <r>
          <t xml:space="preserve">EDGAR mapping:
Source: 10-Q, accession #0001060391-25-000170, filed 2025-04-25
Period: 1Q24 / period ended 2024-03-31
Model row: Model!29 Cost of Goods Sold
Mapping type: direct
Concepts used: CostOfGoodsAndServicesSold = 2283 mm
Unit conversion: raw USD to $mm
Sign: inverted because model expects this row as negative
Confidence: high
Value written: -2283</t>
        </r>
      </text>
    </comment>
    <comment ref="L29" authorId="0">
      <text>
        <r>
          <rPr>
            <b/>
          </rPr>
          <t xml:space="preserve">EDGAR Mapper:
</t>
        </r>
        <r>
          <t xml:space="preserve">EDGAR mapping:
Source: 10-Q, accession #0001060391-25-000216, filed 2025-07-30
Period: 2Q24 / period ended 2024-06-30
Model row: Model!29 Cost of Goods Sold
Mapping type: direct
Concepts used: CostOfGoodsAndServicesSold = 2383 mm
Unit conversion: raw USD to $mm
Sign: inverted because model expects this row as negative
Confidence: high
Value written: -2383</t>
        </r>
      </text>
    </comment>
    <comment ref="M29" authorId="0">
      <text>
        <r>
          <rPr>
            <b/>
          </rPr>
          <t xml:space="preserve">EDGAR Mapper:
</t>
        </r>
        <r>
          <t xml:space="preserve">EDGAR mapping:
Source: 10-Q, accession #0001628280-25-047655, filed 2025-10-31
Period: 3Q24 / period ended 2024-09-30
Model row: Model!29 Cost of Goods Sold
Mapping type: direct
Concepts used: CostOfGoodsAndServicesSold = 2367 mm
Unit conversion: raw USD to $mm
Sign: inverted because model expects this row as negative
Confidence: high
Value written: -2367</t>
        </r>
      </text>
    </comment>
    <comment ref="N29" authorId="0">
      <text>
        <r>
          <rPr>
            <b/>
          </rPr>
          <t xml:space="preserve">EDGAR Mapper:
</t>
        </r>
        <r>
          <t xml:space="preserve">EDGAR mapping:
Source: SEC filing
Period: 4Q24
Model row: Model!29 Cost of Goods Sold
Mapping type: direct
Concepts used: CostOfGoodsAndServicesSold = 2317 mm
Unit conversion: raw USD to $mm
Sign: inverted because model expects this row as negative
Confidence: high
Value written: -2317
Notes: Mapped to SEC cost of revenue / cost of sales. Quarterly value was derived from Cost of Goods and Services Sold less 1Q24, 2Q24, 3Q24.</t>
        </r>
      </text>
    </comment>
    <comment ref="P29" authorId="0">
      <text>
        <r>
          <rPr>
            <b/>
          </rPr>
          <t xml:space="preserve">EDGAR Mapper:
</t>
        </r>
        <r>
          <t xml:space="preserve">EDGAR mapping:
Source: 10-Q, accession #0001060391-26-000212, filed 2026-05-08
Period: 1Q25 / period ended 2025-03-31
Model row: Model!29 Cost of Goods Sold
Mapping type: direct
Concepts used: CostOfGoodsAndServicesSold = 2314 mm
Unit conversion: raw USD to $mm
Sign: inverted because model expects this row as negative
Confidence: high
Value written: -2314</t>
        </r>
      </text>
    </comment>
    <comment ref="Q29" authorId="0">
      <text>
        <r>
          <rPr>
            <b/>
          </rPr>
          <t xml:space="preserve">EDGAR Mapper:
</t>
        </r>
        <r>
          <t xml:space="preserve">EDGAR mapping:
Source: 10-Q, accession #0001060391-25-000216, filed 2025-07-30
Period: 2Q25 / period ended 2025-06-30
Model row: Model!29 Cost of Goods Sold
Mapping type: direct
Concepts used: CostOfGoodsAndServicesSold = 2449 mm
Unit conversion: raw USD to $mm
Sign: inverted because model expects this row as negative
Confidence: high
Value written: -2449</t>
        </r>
      </text>
    </comment>
    <comment ref="R29" authorId="0">
      <text>
        <r>
          <rPr>
            <b/>
          </rPr>
          <t xml:space="preserve">EDGAR Mapper:
</t>
        </r>
        <r>
          <t xml:space="preserve">EDGAR mapping:
Source: 10-Q, accession #0001628280-25-047655, filed 2025-10-31
Period: 3Q25 / period ended 2025-09-30
Model row: Model!29 Cost of Goods Sold
Mapping type: direct
Concepts used: CostOfGoodsAndServicesSold = 2463 mm
Unit conversion: raw USD to $mm
Sign: inverted because model expects this row as negative
Confidence: high
Value written: -2463</t>
        </r>
      </text>
    </comment>
    <comment ref="S29" authorId="0">
      <text>
        <r>
          <rPr>
            <b/>
          </rPr>
          <t xml:space="preserve">EDGAR Mapper:
</t>
        </r>
        <r>
          <t xml:space="preserve">EDGAR mapping:
Source: SEC filing
Period: 4Q25
Model row: Model!29 Cost of Goods Sold
Mapping type: direct
Concepts used: CostOfGoodsAndServicesSold = 2404 mm
Unit conversion: raw USD to $mm
Sign: inverted because model expects this row as negative
Confidence: high
Value written: -2404
Notes: Mapped to SEC cost of revenue / cost of sales. Quarterly value was derived from Cost of Goods and Services Sold less 1Q25, 2Q25, 3Q25.</t>
        </r>
      </text>
    </comment>
    <comment ref="C32" authorId="0">
      <text>
        <r>
          <rPr>
            <b/>
          </rPr>
          <t xml:space="preserve">EDGAR Mapper:
</t>
        </r>
        <r>
          <t>Quarterly value was derived from Selling, General and Administrative Expense less 1Q23, 2Q23, 3Q23. Quarterly value was derived from Selling, General and Administrative Expense less 1Q24, 2Q24, 3Q24. Quarterly value was derived from Selling, General and Administrative Expense less 1Q25, 2Q25, 3Q25.</t>
        </r>
      </text>
    </comment>
    <comment ref="F32" authorId="0">
      <text>
        <r>
          <rPr>
            <b/>
          </rPr>
          <t xml:space="preserve">EDGAR Mapper:
</t>
        </r>
        <r>
          <t xml:space="preserve">EDGAR mapping:
Source: 10-Q, accession #0001060391-24-000205, filed 2024-05-01
Period: 1Q23 / period ended 2023-03-31
Model row: Model!32 Selling, General &amp; Administration (SG&amp;A)
Mapping type: direct
Concepts used: SellingGeneralAndAdministrativeExpense = 379.2 mm
Unit conversion: raw USD to $mm
Sign: inverted because model expects this row as negative
Confidence: high
Value written: -379.2</t>
        </r>
      </text>
    </comment>
    <comment ref="G32" authorId="0">
      <text>
        <r>
          <rPr>
            <b/>
          </rPr>
          <t xml:space="preserve">EDGAR Mapper:
</t>
        </r>
        <r>
          <t xml:space="preserve">EDGAR mapping:
Source: 10-Q, accession #0001060391-24-000273, filed 2024-07-25
Period: 2Q23 / period ended 2023-06-30
Model row: Model!32 Selling, General &amp; Administration (SG&amp;A)
Mapping type: direct
Concepts used: SellingGeneralAndAdministrativeExpense = 396 mm
Unit conversion: raw USD to $mm
Sign: inverted because model expects this row as negative
Confidence: high
Value written: -396</t>
        </r>
      </text>
    </comment>
    <comment ref="H32" authorId="0">
      <text>
        <r>
          <rPr>
            <b/>
          </rPr>
          <t xml:space="preserve">EDGAR Mapper:
</t>
        </r>
        <r>
          <t xml:space="preserve">EDGAR mapping:
Source: 10-Q, accession #0001060391-24-000324, filed 2024-10-30
Period: 3Q23 / period ended 2023-09-30
Model row: Model!32 Selling, General &amp; Administration (SG&amp;A)
Mapping type: direct
Concepts used: SellingGeneralAndAdministrativeExpense = 402.1 mm
Unit conversion: raw USD to $mm
Sign: inverted because model expects this row as negative
Confidence: high
Value written: -402.1</t>
        </r>
      </text>
    </comment>
    <comment ref="I32" authorId="0">
      <text>
        <r>
          <rPr>
            <b/>
          </rPr>
          <t xml:space="preserve">EDGAR Mapper:
</t>
        </r>
        <r>
          <t xml:space="preserve">EDGAR mapping:
Source: SEC filing
Period: 4Q23
Model row: Model!32 Selling, General &amp; Administration (SG&amp;A)
Mapping type: direct
Concepts used: SellingGeneralAndAdministrativeExpense = 431.7 mm
Unit conversion: raw USD to $mm
Sign: inverted because model expects this row as negative
Confidence: high
Value written: -431.7
Notes: Quarterly value was derived from Selling, General and Administrative Expense less 1Q23, 2Q23, 3Q23.</t>
        </r>
      </text>
    </comment>
    <comment ref="K32" authorId="0">
      <text>
        <r>
          <rPr>
            <b/>
          </rPr>
          <t xml:space="preserve">EDGAR Mapper:
</t>
        </r>
        <r>
          <t xml:space="preserve">EDGAR mapping:
Source: 10-Q, accession #0001060391-25-000170, filed 2025-04-25
Period: 1Q24 / period ended 2024-03-31
Model row: Model!32 Selling, General &amp; Administration (SG&amp;A)
Mapping type: direct
Concepts used: SellingGeneralAndAdministrativeExpense = 414 mm
Unit conversion: raw USD to $mm
Sign: inverted because model expects this row as negative
Confidence: high
Value written: -414</t>
        </r>
      </text>
    </comment>
    <comment ref="L32" authorId="0">
      <text>
        <r>
          <rPr>
            <b/>
          </rPr>
          <t xml:space="preserve">EDGAR Mapper:
</t>
        </r>
        <r>
          <t xml:space="preserve">EDGAR mapping:
Source: 10-Q, accession #0001060391-25-000216, filed 2025-07-30
Period: 2Q24 / period ended 2024-06-30
Model row: Model!32 Selling, General &amp; Administration (SG&amp;A)
Mapping type: direct
Concepts used: SellingGeneralAndAdministrativeExpense = 407 mm
Unit conversion: raw USD to $mm
Sign: inverted because model expects this row as negative
Confidence: high
Value written: -407</t>
        </r>
      </text>
    </comment>
    <comment ref="M32" authorId="0">
      <text>
        <r>
          <rPr>
            <b/>
          </rPr>
          <t xml:space="preserve">EDGAR Mapper:
</t>
        </r>
        <r>
          <t xml:space="preserve">EDGAR mapping:
Source: 10-Q, accession #0001628280-25-047655, filed 2025-10-31
Period: 3Q24 / period ended 2024-09-30
Model row: Model!32 Selling, General &amp; Administration (SG&amp;A)
Mapping type: direct
Concepts used: SellingGeneralAndAdministrativeExpense = 406 mm
Unit conversion: raw USD to $mm
Sign: inverted because model expects this row as negative
Confidence: high
Value written: -406</t>
        </r>
      </text>
    </comment>
    <comment ref="N32" authorId="0">
      <text>
        <r>
          <rPr>
            <b/>
          </rPr>
          <t xml:space="preserve">EDGAR Mapper:
</t>
        </r>
        <r>
          <t xml:space="preserve">EDGAR mapping:
Source: SEC filing
Period: 4Q24
Model row: Model!32 Selling, General &amp; Administration (SG&amp;A)
Mapping type: direct
Concepts used: SellingGeneralAndAdministrativeExpense = 447 mm
Unit conversion: raw USD to $mm
Sign: inverted because model expects this row as negative
Confidence: high
Value written: -447
Notes: Quarterly value was derived from Selling, General and Administrative Expense less 1Q24, 2Q24, 3Q24.</t>
        </r>
      </text>
    </comment>
    <comment ref="P32" authorId="0">
      <text>
        <r>
          <rPr>
            <b/>
          </rPr>
          <t xml:space="preserve">EDGAR Mapper:
</t>
        </r>
        <r>
          <t xml:space="preserve">EDGAR mapping:
Source: 10-Q, accession #0001060391-26-000212, filed 2026-05-08
Period: 1Q25 / period ended 2025-03-31
Model row: Model!32 Selling, General &amp; Administration (SG&amp;A)
Mapping type: direct
Concepts used: SellingGeneralAndAdministrativeExpense = 427 mm
Unit conversion: raw USD to $mm
Sign: inverted because model expects this row as negative
Confidence: high
Value written: -427</t>
        </r>
      </text>
    </comment>
    <comment ref="Q32" authorId="0">
      <text>
        <r>
          <rPr>
            <b/>
          </rPr>
          <t xml:space="preserve">EDGAR Mapper:
</t>
        </r>
        <r>
          <t xml:space="preserve">EDGAR mapping:
Source: 10-Q, accession #0001060391-25-000216, filed 2025-07-30
Period: 2Q25 / period ended 2025-06-30
Model row: Model!32 Selling, General &amp; Administration (SG&amp;A)
Mapping type: direct
Concepts used: SellingGeneralAndAdministrativeExpense = 425 mm
Unit conversion: raw USD to $mm
Sign: inverted because model expects this row as negative
Confidence: high
Value written: -425</t>
        </r>
      </text>
    </comment>
    <comment ref="R32" authorId="0">
      <text>
        <r>
          <rPr>
            <b/>
          </rPr>
          <t xml:space="preserve">EDGAR Mapper:
</t>
        </r>
        <r>
          <t xml:space="preserve">EDGAR mapping:
Source: 10-Q, accession #0001628280-25-047655, filed 2025-10-31
Period: 3Q25 / period ended 2025-09-30
Model row: Model!32 Selling, General &amp; Administration (SG&amp;A)
Mapping type: direct
Concepts used: SellingGeneralAndAdministrativeExpense = 422 mm
Unit conversion: raw USD to $mm
Sign: inverted because model expects this row as negative
Confidence: high
Value written: -422</t>
        </r>
      </text>
    </comment>
    <comment ref="S32" authorId="0">
      <text>
        <r>
          <rPr>
            <b/>
          </rPr>
          <t xml:space="preserve">EDGAR Mapper:
</t>
        </r>
        <r>
          <t xml:space="preserve">EDGAR mapping:
Source: SEC filing
Period: 4Q25
Model row: Model!32 Selling, General &amp; Administration (SG&amp;A)
Mapping type: direct
Concepts used: SellingGeneralAndAdministrativeExpense = 436 mm
Unit conversion: raw USD to $mm
Sign: inverted because model expects this row as negative
Confidence: high
Value written: -436
Notes: Quarterly value was derived from Selling, General and Administrative Expense less 1Q25, 2Q25, 3Q25.</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#0001060391-24-000205, filed 2024-05-01
Period: 1Q23 / period ended 2023-03-31
Model row: Model!34 Depreciation &amp; Amortization
Mapping type: direct
Concepts used: DepreciationDepletionAndAmortization = 358.7 mm
Unit conversion: raw USD to $mm
Sign: inverted because model expects this row as negative
Confidence: high
Value written: -358.7</t>
        </r>
      </text>
    </comment>
    <comment ref="G34" authorId="0">
      <text>
        <r>
          <rPr>
            <b/>
          </rPr>
          <t xml:space="preserve">EDGAR Mapper:
</t>
        </r>
        <r>
          <t xml:space="preserve">EDGAR mapping:
Source: 10-Q, accession #0001060391-24-000273, filed 2024-07-25
Period: 2Q23 / period ended 2023-06-30
Model row: Model!34 Depreciation &amp; Amortization
Mapping type: direct
Concepts used: DepreciationDepletionAndAmortization = 358.3 mm
Unit conversion: raw USD to $mm
Sign: inverted because model expects this row as negative
Confidence: high
Value written: -358.3</t>
        </r>
      </text>
    </comment>
    <comment ref="H34" authorId="0">
      <text>
        <r>
          <rPr>
            <b/>
          </rPr>
          <t xml:space="preserve">EDGAR Mapper:
</t>
        </r>
        <r>
          <t xml:space="preserve">EDGAR mapping:
Source: 10-Q, accession #0001060391-24-000324, filed 2024-10-30
Period: 3Q23 / period ended 2023-09-30
Model row: Model!34 Depreciation &amp; Amortization
Mapping type: direct
Concepts used: DepreciationDepletionAndAmortization = 382.3 mm
Unit conversion: raw USD to $mm
Sign: inverted because model expects this row as negative
Confidence: high
Value written: -382.3</t>
        </r>
      </text>
    </comment>
    <comment ref="I34" authorId="0">
      <text>
        <r>
          <rPr>
            <b/>
          </rPr>
          <t xml:space="preserve">EDGAR Mapper:
</t>
        </r>
        <r>
          <t xml:space="preserve">EDGAR mapping:
Source: SEC filing
Period: 4Q23
Model row: Model!34 Depreciation &amp; Amortization
Mapping type: direct
Concepts used: DepreciationDepletionAndAmortization = 401.6 mm
Unit conversion: raw USD to $mm
Sign: inverted because model expects this row as negative
Confidence: high
Value written: -401.6
Notes: Quarterly value was derived from Depreciation, Depletion and Amortization less 1Q23, 2Q23, 3Q23.</t>
        </r>
      </text>
    </comment>
    <comment ref="K34" authorId="0">
      <text>
        <r>
          <rPr>
            <b/>
          </rPr>
          <t xml:space="preserve">EDGAR Mapper:
</t>
        </r>
        <r>
          <t xml:space="preserve">EDGAR mapping:
Source: 10-Q, accession #0001060391-25-000170, filed 2025-04-25
Period: 1Q24 / period ended 2024-03-31
Model row: Model!34 Depreciation &amp; Amortization
Mapping type: direct
Concepts used: DepreciationDepletionAndAmortization = 399 mm
Unit conversion: raw USD to $mm
Sign: inverted because model expects this row as negative
Confidence: high
Value written: -399</t>
        </r>
      </text>
    </comment>
    <comment ref="L34" authorId="0">
      <text>
        <r>
          <rPr>
            <b/>
          </rPr>
          <t xml:space="preserve">EDGAR Mapper:
</t>
        </r>
        <r>
          <t xml:space="preserve">EDGAR mapping:
Source: 10-Q, accession #0001060391-25-000216, filed 2025-07-30
Period: 2Q24 / period ended 2024-06-30
Model row: Model!34 Depreciation &amp; Amortization
Mapping type: direct
Concepts used: DepreciationDepletionAndAmortization = 413 mm
Unit conversion: raw USD to $mm
Sign: inverted because model expects this row as negative
Confidence: high
Value written: -413</t>
        </r>
      </text>
    </comment>
    <comment ref="M34" authorId="0">
      <text>
        <r>
          <rPr>
            <b/>
          </rPr>
          <t xml:space="preserve">EDGAR Mapper:
</t>
        </r>
        <r>
          <t xml:space="preserve">EDGAR mapping:
Source: 10-Q, accession #0001628280-25-047655, filed 2025-10-31
Period: 3Q24 / period ended 2024-09-30
Model row: Model!34 Depreciation &amp; Amortization
Mapping type: direct
Concepts used: DepreciationDepletionAndAmortization = 422 mm
Unit conversion: raw USD to $mm
Sign: inverted because model expects this row as negative
Confidence: high
Value written: -422</t>
        </r>
      </text>
    </comment>
    <comment ref="N34" authorId="0">
      <text>
        <r>
          <rPr>
            <b/>
          </rPr>
          <t xml:space="preserve">EDGAR Mapper:
</t>
        </r>
        <r>
          <t xml:space="preserve">EDGAR mapping:
Source: SEC filing
Period: 4Q24
Model row: Model!34 Depreciation &amp; Amortization
Mapping type: direct
Concepts used: DepreciationDepletionAndAmortization = 443 mm
Unit conversion: raw USD to $mm
Sign: inverted because model expects this row as negative
Confidence: high
Value written: -443
Notes: Quarterly value was derived from Depreciation, Depletion and Amortization less 1Q24, 2Q24, 3Q24.</t>
        </r>
      </text>
    </comment>
    <comment ref="P34" authorId="0">
      <text>
        <r>
          <rPr>
            <b/>
          </rPr>
          <t xml:space="preserve">EDGAR Mapper:
</t>
        </r>
        <r>
          <t xml:space="preserve">EDGAR mapping:
Source: 10-Q, accession #0001060391-26-000212, filed 2026-05-08
Period: 1Q25 / period ended 2025-03-31
Model row: Model!34 Depreciation &amp; Amortization
Mapping type: direct
Concepts used: DepreciationDepletionAndAmortization = 434 mm
Unit conversion: raw USD to $mm
Sign: inverted because model expects this row as negative
Confidence: high
Value written: -434</t>
        </r>
      </text>
    </comment>
    <comment ref="Q34" authorId="0">
      <text>
        <r>
          <rPr>
            <b/>
          </rPr>
          <t xml:space="preserve">EDGAR Mapper:
</t>
        </r>
        <r>
          <t xml:space="preserve">EDGAR mapping:
Source: 10-Q, accession #0001060391-25-000216, filed 2025-07-30
Period: 2Q25 / period ended 2025-06-30
Model row: Model!34 Depreciation &amp; Amortization
Mapping type: direct
Concepts used: DepreciationDepletionAndAmortization = 463 mm
Unit conversion: raw USD to $mm
Sign: inverted because model expects this row as negative
Confidence: high
Value written: -463</t>
        </r>
      </text>
    </comment>
    <comment ref="R34" authorId="0">
      <text>
        <r>
          <rPr>
            <b/>
          </rPr>
          <t xml:space="preserve">EDGAR Mapper:
</t>
        </r>
        <r>
          <t xml:space="preserve">EDGAR mapping:
Source: 10-Q, accession #0001628280-25-047655, filed 2025-10-31
Period: 3Q25 / period ended 2025-09-30
Model row: Model!34 Depreciation &amp; Amortization
Mapping type: direct
Concepts used: DepreciationDepletionAndAmortization = 459 mm
Unit conversion: raw USD to $mm
Sign: inverted because model expects this row as negative
Confidence: high
Value written: -459</t>
        </r>
      </text>
    </comment>
    <comment ref="S34" authorId="0">
      <text>
        <r>
          <rPr>
            <b/>
          </rPr>
          <t xml:space="preserve">EDGAR Mapper:
</t>
        </r>
        <r>
          <t xml:space="preserve">EDGAR mapping:
Source: SEC filing
Period: 4Q25
Model row: Model!34 Depreciation &amp; Amortization
Mapping type: direct
Concepts used: DepreciationDepletionAndAmortization = 458 mm
Unit conversion: raw USD to $mm
Sign: inverted because model expects this row as negative
Confidence: high
Value written: -458
Notes: Quarterly value was derived from Depreciation, Depletion and Amortization less 1Q25, 2Q25, 3Q25.</t>
        </r>
      </text>
    </comment>
    <comment ref="C35" authorId="0">
      <text>
        <r>
          <rPr>
            <b/>
          </rPr>
          <t xml:space="preserve">EDGAR Mapper:
</t>
        </r>
        <r>
          <t xml:space="preserve">=====
Restructuring 
EDGAR Mapper:
Grouped from EDGAR: Cost of Goods and Services Sold. These were grouped because the model row is broader than the EDGAR operating expense detail available for this company. Grouped from EDGAR: Cost of Goods and Services Sold (derived Q4). These were grouped because the model row is broader than the EDGAR operating expense detail available for this company. Quarterly value was derived from Cost of Goods and Services Sold less 1Q23, 2Q23, 3Q23. Grouped from EDGAR: Cost of Goods and Services Sold (derived Q4). These were grouped because the model row is broader than the EDGAR operating expense detail available for this company. Quarterly value was derived from Cost of Goods and Services Sold less 1Q24, 2Q24, 3Q24. Grouped from EDGAR: Cost of Goods and Services Sold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#0001060391-24-000205, filed 2024-05-01
Period: 1Q23 / period ended 2023-03-31
Model row: Model!35 Other Operating Income (Expense)
Mapping type: grouped
Concepts used: CostOfGoodsAndServicesSold = 2169.5 mm
Unit conversion: raw USD to $mm
Sign: copied using model sign convention
Confidence: high
Value written: -2169.5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G35" authorId="0">
      <text>
        <r>
          <rPr>
            <b/>
          </rPr>
          <t xml:space="preserve">EDGAR Mapper:
</t>
        </r>
        <r>
          <t xml:space="preserve">EDGAR mapping:
Source: 10-Q, accession #0001060391-24-000273, filed 2024-07-25
Period: 2Q23 / period ended 2023-06-30
Model row: Model!35 Other Operating Income (Expense)
Mapping type: grouped
Concepts used: CostOfGoodsAndServicesSold = 2224.4 mm
Unit conversion: raw USD to $mm
Sign: copied using model sign convention
Confidence: high
Value written: -2224.4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H35" authorId="0">
      <text>
        <r>
          <rPr>
            <b/>
          </rPr>
          <t xml:space="preserve">EDGAR Mapper:
</t>
        </r>
        <r>
          <t xml:space="preserve">EDGAR mapping:
Source: 10-Q, accession #0001060391-24-000324, filed 2024-10-30
Period: 3Q23 / period ended 2023-09-30
Model row: Model!35 Other Operating Income (Expense)
Mapping type: grouped
Concepts used: CostOfGoodsAndServicesSold = 2284.3 mm
Unit conversion: raw USD to $mm
Sign: copied using model sign convention
Confidence: high
Value written: -2284.3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I35" authorId="0">
      <text>
        <r>
          <rPr>
            <b/>
          </rPr>
          <t xml:space="preserve">EDGAR Mapper:
</t>
        </r>
        <r>
          <t xml:space="preserve">EDGAR mapping:
Source: SEC filing
Period: 4Q23
Model row: Model!35 Other Operating Income (Expense)
Mapping type: grouped
Concepts used: CostOfGoodsAndServicesSold = 2265 mm
Unit conversion: raw USD to $mm
Sign: copied using model sign convention
Confidence: high
Value written: -2265
Notes: Grouped from EDGAR: Cost of Goods and Services Sold (derived Q4). These were grouped because the model row is broader than the EDGAR operating expense detail available for this company. Quarterly value was derived from Cost of Goods and Services Sold less 1Q23, 2Q23, 3Q23.
EDGAR Mapper:
Calculated as the residual needed for the Income Statement EBIT formula to tie to EDGAR pre-tax operating income.</t>
        </r>
      </text>
    </comment>
    <comment ref="K35" authorId="0">
      <text>
        <r>
          <rPr>
            <b/>
          </rPr>
          <t xml:space="preserve">EDGAR Mapper:
</t>
        </r>
        <r>
          <t xml:space="preserve">EDGAR mapping:
Source: 10-Q, accession #0001060391-25-000170, filed 2025-04-25
Period: 1Q24 / period ended 2024-03-31
Model row: Model!35 Other Operating Income (Expense)
Mapping type: grouped
Concepts used: CostOfGoodsAndServicesSold = 2283 mm
Unit conversion: raw USD to $mm
Sign: copied using model sign convention
Confidence: high
Value written: -2283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L35" authorId="0">
      <text>
        <r>
          <rPr>
            <b/>
          </rPr>
          <t xml:space="preserve">EDGAR Mapper:
</t>
        </r>
        <r>
          <t xml:space="preserve">EDGAR mapping:
Source: 10-Q, accession #0001060391-25-000216, filed 2025-07-30
Period: 2Q24 / period ended 2024-06-30
Model row: Model!35 Other Operating Income (Expense)
Mapping type: grouped
Concepts used: CostOfGoodsAndServicesSold = 2383 mm
Unit conversion: raw USD to $mm
Sign: copied using model sign convention
Confidence: high
Value written: -2383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M35" authorId="0">
      <text>
        <r>
          <rPr>
            <b/>
          </rPr>
          <t xml:space="preserve">EDGAR Mapper:
</t>
        </r>
        <r>
          <t xml:space="preserve">EDGAR mapping:
Source: 10-Q, accession #0001628280-25-047655, filed 2025-10-31
Period: 3Q24 / period ended 2024-09-30
Model row: Model!35 Other Operating Income (Expense)
Mapping type: grouped
Concepts used: CostOfGoodsAndServicesSold = 2367 mm
Unit conversion: raw USD to $mm
Sign: copied using model sign convention
Confidence: high
Value written: -2367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N35" authorId="0">
      <text>
        <r>
          <rPr>
            <b/>
          </rPr>
          <t xml:space="preserve">EDGAR Mapper:
</t>
        </r>
        <r>
          <t xml:space="preserve">EDGAR mapping:
Source: SEC filing
Period: 4Q24
Model row: Model!35 Other Operating Income (Expense)
Mapping type: grouped
Concepts used: CostOfGoodsAndServicesSold = 2317 mm
Unit conversion: raw USD to $mm
Sign: copied using model sign convention
Confidence: high
Value written: -2317
Notes: Grouped from EDGAR: Cost of Goods and Services Sold (derived Q4). These were grouped because the model row is broader than the EDGAR operating expense detail available for this company. Quarterly value was derived from Cost of Goods and Services Sold less 1Q24, 2Q24, 3Q24.
EDGAR Mapper:
Calculated as the residual needed for the Income Statement EBIT formula to tie to EDGAR pre-tax operating income.</t>
        </r>
      </text>
    </comment>
    <comment ref="P35" authorId="0">
      <text>
        <r>
          <rPr>
            <b/>
          </rPr>
          <t xml:space="preserve">EDGAR Mapper:
</t>
        </r>
        <r>
          <t xml:space="preserve">EDGAR mapping:
Source: 10-Q, accession #0001060391-26-000212, filed 2026-05-08
Period: 1Q25 / period ended 2025-03-31
Model row: Model!35 Other Operating Income (Expense)
Mapping type: grouped
Concepts used: CostOfGoodsAndServicesSold = 2314 mm
Unit conversion: raw USD to $mm
Sign: copied using model sign convention
Confidence: high
Value written: -2314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Q35" authorId="0">
      <text>
        <r>
          <rPr>
            <b/>
          </rPr>
          <t xml:space="preserve">EDGAR Mapper:
</t>
        </r>
        <r>
          <t xml:space="preserve">EDGAR mapping:
Source: 10-Q, accession #0001060391-25-000216, filed 2025-07-30
Period: 2Q25 / period ended 2025-06-30
Model row: Model!35 Other Operating Income (Expense)
Mapping type: grouped
Concepts used: CostOfGoodsAndServicesSold = 2449 mm
Unit conversion: raw USD to $mm
Sign: copied using model sign convention
Confidence: high
Value written: -2449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R35" authorId="0">
      <text>
        <r>
          <rPr>
            <b/>
          </rPr>
          <t xml:space="preserve">EDGAR Mapper:
</t>
        </r>
        <r>
          <t xml:space="preserve">EDGAR mapping:
Source: 10-Q, accession #0001628280-25-047655, filed 2025-10-31
Period: 3Q25 / period ended 2025-09-30
Model row: Model!35 Other Operating Income (Expense)
Mapping type: grouped
Concepts used: CostOfGoodsAndServicesSold = 2463 mm
Unit conversion: raw USD to $mm
Sign: copied using model sign convention
Confidence: high
Value written: -2463
Notes: Grouped from EDGAR: Cost of Goods and Services Sold. These were grouped because the model row is broader than the EDGAR operating expense detail available for this company.
EDGAR Mapper:
Calculated as the residual needed for the Income Statement EBIT formula to tie to EDGAR pre-tax operating income.</t>
        </r>
      </text>
    </comment>
    <comment ref="S35" authorId="0">
      <text>
        <r>
          <rPr>
            <b/>
          </rPr>
          <t xml:space="preserve">EDGAR Mapper:
</t>
        </r>
        <r>
          <t xml:space="preserve">EDGAR mapping:
Source: SEC filing
Period: 4Q25
Model row: Model!35 Other Operating Income (Expense)
Mapping type: grouped
Concepts used: CostOfGoodsAndServicesSold = 2404 mm
Unit conversion: raw USD to $mm
Sign: copied using model sign convention
Confidence: high
Value written: -2404
Notes: Grouped from EDGAR: Cost of Goods and Services Sold (derived Q4). These were grouped because the model row is broader than the EDGAR operating expense detail available for this company. Quarterly value was derived from Cost of Goods and Services Sold less 1Q25, 2Q25, 3Q25.
EDGAR Mapper:
Calculated as the residual needed for the Income Statement EBIT formula to tie to EDGAR pre-tax operating income.</t>
        </r>
      </text>
    </comment>
    <comment ref="C38" authorId="0">
      <text>
        <r>
          <rPr>
            <b/>
          </rPr>
          <t xml:space="preserve">EDGAR Mapper:
</t>
        </r>
        <r>
          <t>LLM-assisted EDGAR mapping: The row 'Interest Income' in the income statement section 'Other Operating Income (Expense)' matches the candidate concept 'Investment Income, Interest' which is the standard XBRL mapping for interest income earned on investments. 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1Q23, 2Q23, 3Q23. 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1Q24, 2Q24, 3Q24. 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1Q25, 2Q25, 3Q25.</t>
        </r>
      </text>
    </comment>
    <comment ref="F38" authorId="0">
      <text>
        <r>
          <rPr>
            <b/>
          </rPr>
          <t xml:space="preserve">EDGAR Mapper:
</t>
        </r>
        <r>
          <t xml:space="preserve">EDGAR mapping:
Source: 10-Q, accession #0001060391-24-000205, filed 2024-05-01
Period: 1Q23 / period ended 2023-03-31
Model row: Model!38 Interest Income
Mapping type: direct
Concepts used: InvestmentIncomeInterest = 1.4 mm
Unit conversion: raw USD to $mm
Sign: copied using model sign convention
Confidence: medium
Value written: 1.4</t>
        </r>
      </text>
    </comment>
    <comment ref="G38" authorId="0">
      <text>
        <r>
          <rPr>
            <b/>
          </rPr>
          <t xml:space="preserve">EDGAR Mapper:
</t>
        </r>
        <r>
          <t xml:space="preserve">EDGAR mapping:
Source: 10-Q, accession #0001060391-24-000273, filed 2024-07-25
Period: 2Q23 / period ended 2023-06-30
Model row: Model!38 Interest Income
Mapping type: direct
Concepts used: InvestmentIncomeInterest = 1.6 mm
Unit conversion: raw USD to $mm
Sign: copied using model sign convention
Confidence: medium
Value written: 1.6</t>
        </r>
      </text>
    </comment>
    <comment ref="H38" authorId="0">
      <text>
        <r>
          <rPr>
            <b/>
          </rPr>
          <t xml:space="preserve">EDGAR Mapper:
</t>
        </r>
        <r>
          <t xml:space="preserve">EDGAR mapping:
Source: 10-Q, accession #0001060391-24-000324, filed 2024-10-30
Period: 3Q23 / period ended 2023-09-30
Model row: Model!38 Interest Income
Mapping type: direct
Concepts used: InvestmentIncomeInterest = 2 mm
Unit conversion: raw USD to $mm
Sign: copied using model sign convention
Confidence: medium
Value written: 2</t>
        </r>
      </text>
    </comment>
    <comment ref="I38" authorId="0">
      <text>
        <r>
          <rPr>
            <b/>
          </rPr>
          <t xml:space="preserve">EDGAR Mapper:
</t>
        </r>
        <r>
          <t xml:space="preserve">EDGAR mapping:
Source: SEC filing
Period: 4Q23
Model row: Model!38 Interest Income
Mapping type: direct
Concepts used: InvestmentIncomeInterest = 1 mm
Unit conversion: raw USD to $mm
Sign: copied using model sign convention
Confidence: medium
Value written: 1
Notes: 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1Q23, 2Q23, 3Q23.</t>
        </r>
      </text>
    </comment>
    <comment ref="K38" authorId="0">
      <text>
        <r>
          <rPr>
            <b/>
          </rPr>
          <t xml:space="preserve">EDGAR Mapper:
</t>
        </r>
        <r>
          <t xml:space="preserve">EDGAR mapping:
Source: 10-Q, accession #0001060391-25-000170, filed 2025-04-25
Period: 1Q24 / period ended 2024-03-31
Model row: Model!38 Interest Income
Mapping type: direct
Concepts used: InvestmentIncomeInterest = 1 mm
Unit conversion: raw USD to $mm
Sign: copied using model sign convention
Confidence: medium
Value written: 1</t>
        </r>
      </text>
    </comment>
    <comment ref="L38" authorId="0">
      <text>
        <r>
          <rPr>
            <b/>
          </rPr>
          <t xml:space="preserve">EDGAR Mapper:
</t>
        </r>
        <r>
          <t xml:space="preserve">EDGAR mapping:
Source: 10-Q, accession #0001060391-25-000216, filed 2025-07-30
Period: 2Q24 / period ended 2024-06-30
Model row: Model!38 Interest Income
Mapping type: direct
Concepts used: InvestmentIncomeInterest = 1 mm
Unit conversion: raw USD to $mm
Sign: copied using model sign convention
Confidence: medium
Value written: 1</t>
        </r>
      </text>
    </comment>
    <comment ref="M38" authorId="0">
      <text>
        <r>
          <rPr>
            <b/>
          </rPr>
          <t xml:space="preserve">EDGAR Mapper:
</t>
        </r>
        <r>
          <t xml:space="preserve">EDGAR mapping:
Source: 10-Q, accession #0001628280-25-047655, filed 2025-10-31
Period: 3Q24 / period ended 2024-09-30
Model row: Model!38 Interest Income
Mapping type: direct
Concepts used: InvestmentIncomeInterest = 4 mm
Unit conversion: raw USD to $mm
Sign: copied using model sign convention
Confidence: medium
Value written: 4</t>
        </r>
      </text>
    </comment>
    <comment ref="N38" authorId="0">
      <text>
        <r>
          <rPr>
            <b/>
          </rPr>
          <t xml:space="preserve">EDGAR Mapper:
</t>
        </r>
        <r>
          <t xml:space="preserve">EDGAR mapping:
Source: SEC filing
Period: 4Q24
Model row: Model!38 Interest Income
Mapping type: direct
Concepts used: InvestmentIncomeInterest = 2 mm
Unit conversion: raw USD to $mm
Sign: copied using model sign convention
Confidence: medium
Value written: 2
Notes: 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1Q24, 2Q24, 3Q24.</t>
        </r>
      </text>
    </comment>
    <comment ref="P38" authorId="0">
      <text>
        <r>
          <rPr>
            <b/>
          </rPr>
          <t xml:space="preserve">EDGAR Mapper:
</t>
        </r>
        <r>
          <t xml:space="preserve">EDGAR mapping:
Source: 10-Q, accession #0001060391-26-000212, filed 2026-05-08
Period: 1Q25 / period ended 2025-03-31
Model row: Model!38 Interest Income
Mapping type: direct
Concepts used: InvestmentIncomeInterest = 2 mm
Unit conversion: raw USD to $mm
Sign: copied using model sign convention
Confidence: medium
Value written: 2</t>
        </r>
      </text>
    </comment>
    <comment ref="Q38" authorId="0">
      <text>
        <r>
          <rPr>
            <b/>
          </rPr>
          <t xml:space="preserve">EDGAR Mapper:
</t>
        </r>
        <r>
          <t xml:space="preserve">EDGAR mapping:
Source: 10-Q, accession #0001060391-25-000216, filed 2025-07-30
Period: 2Q25 / period ended 2025-06-30
Model row: Model!38 Interest Income
Mapping type: direct
Concepts used: InvestmentIncomeInterest = 2 mm
Unit conversion: raw USD to $mm
Sign: copied using model sign convention
Confidence: medium
Value written: 2</t>
        </r>
      </text>
    </comment>
    <comment ref="R38" authorId="0">
      <text>
        <r>
          <rPr>
            <b/>
          </rPr>
          <t xml:space="preserve">EDGAR Mapper:
</t>
        </r>
        <r>
          <t xml:space="preserve">EDGAR mapping:
Source: 10-Q, accession #0001628280-25-047655, filed 2025-10-31
Period: 3Q25 / period ended 2025-09-30
Model row: Model!38 Interest Income
Mapping type: direct
Concepts used: InvestmentIncomeInterest = 2 mm
Unit conversion: raw USD to $mm
Sign: copied using model sign convention
Confidence: medium
Value written: 2</t>
        </r>
      </text>
    </comment>
    <comment ref="S38" authorId="0">
      <text>
        <r>
          <rPr>
            <b/>
          </rPr>
          <t xml:space="preserve">EDGAR Mapper:
</t>
        </r>
        <r>
          <t xml:space="preserve">EDGAR mapping:
Source: SEC filing
Period: 4Q25
Model row: Model!38 Interest Income
Mapping type: direct
Concepts used: InvestmentIncomeInterest = 2 mm
Unit conversion: raw USD to $mm
Sign: copied using model sign convention
Confidence: medium
Value written: 2
Notes: 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1Q25, 2Q25, 3Q25.</t>
        </r>
      </text>
    </comment>
    <comment ref="C39" authorId="0">
      <text>
        <r>
          <rPr>
            <b/>
          </rPr>
          <t xml:space="preserve">EDGAR Mapper:
</t>
        </r>
        <r>
          <t>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Quarterly value was derived from Other Nonoperating Income (Expense) less 1Q25, 2Q25, 3Q25.</t>
        </r>
      </text>
    </comment>
    <comment ref="F41" authorId="0">
      <text>
        <r>
          <rPr>
            <b/>
          </rPr>
          <t xml:space="preserve">EDGAR Mapper:
</t>
        </r>
        <r>
          <t xml:space="preserve">EDGAR mapping:
Source: 10-Q, accession #0001060391-24-000205, filed 2024-05-01
Period: 1Q23 / period ended 2023-03-31
Model row: Model!41 Other Non-Operating Income (Expense)
Mapping type: direct
Concepts used: OtherNonoperatingIncomeExpense = 2.5 mm
Unit conversion: raw USD to $mm
Sign: copied using model sign convention
Confidence: high
Value written: 2.5</t>
        </r>
      </text>
    </comment>
    <comment ref="G41" authorId="0">
      <text>
        <r>
          <rPr>
            <b/>
          </rPr>
          <t xml:space="preserve">EDGAR Mapper:
</t>
        </r>
        <r>
          <t xml:space="preserve">EDGAR mapping:
Source: 10-Q, accession #0001060391-24-000273, filed 2024-07-25
Period: 2Q23 / period ended 2023-06-30
Model row: Model!41 Other Non-Operating Income (Expense)
Mapping type: direct
Concepts used: OtherNonoperatingIncomeExpense = -0.6 mm
Unit conversion: raw USD to $mm
Sign: copied using model sign convention
Confidence: high
Value written: -0.6</t>
        </r>
      </text>
    </comment>
    <comment ref="H41" authorId="0">
      <text>
        <r>
          <rPr>
            <b/>
          </rPr>
          <t xml:space="preserve">EDGAR Mapper:
</t>
        </r>
        <r>
          <t xml:space="preserve">EDGAR mapping:
Source: 10-Q, accession #0001060391-24-000324, filed 2024-10-30
Period: 3Q23 / period ended 2023-09-30
Model row: Model!41 Other Non-Operating Income (Expense)
Mapping type: direct
Concepts used: OtherNonoperatingIncomeExpense = 1.3 mm
Unit conversion: raw USD to $mm
Sign: copied using model sign convention
Confidence: high
Value written: 1.3</t>
        </r>
      </text>
    </comment>
    <comment ref="I41" authorId="0">
      <text>
        <r>
          <rPr>
            <b/>
          </rPr>
          <t xml:space="preserve">EDGAR Mapper:
</t>
        </r>
        <r>
          <t xml:space="preserve">EDGAR mapping:
Source: SEC filing
Period: 4Q23
Model row: Model!41 Other Non-Operating Income (Expense)
Mapping type: direct
Concepts used: OtherNonoperatingIncomeExpense = 3.8 mm
Unit conversion: raw USD to $mm
Sign: copied using model sign convention
Confidence: high
Value written: 3.8
Notes: Quarterly value was derived from Other Nonoperating Income (Expense) less 1Q23, 2Q23, 3Q23.</t>
        </r>
      </text>
    </comment>
    <comment ref="K41" authorId="0">
      <text>
        <r>
          <rPr>
            <b/>
          </rPr>
          <t xml:space="preserve">EDGAR Mapper:
</t>
        </r>
        <r>
          <t xml:space="preserve">EDGAR mapping:
Source: 10-Q, accession #0001060391-25-000170, filed 2025-04-25
Period: 1Q24 / period ended 2024-03-31
Model row: Model!41 Other Non-Operating Income (Expense)
Mapping type: direct
Concepts used: OtherNonoperatingIncomeExpense = 13 mm
Unit conversion: raw USD to $mm
Sign: copied using model sign convention
Confidence: high
Value written: 13</t>
        </r>
      </text>
    </comment>
    <comment ref="L41" authorId="0">
      <text>
        <r>
          <rPr>
            <b/>
          </rPr>
          <t xml:space="preserve">EDGAR Mapper:
</t>
        </r>
        <r>
          <t xml:space="preserve">EDGAR mapping:
Source: 10-Q, accession #0001060391-25-000216, filed 2025-07-30
Period: 2Q24 / period ended 2024-06-30
Model row: Model!41 Other Non-Operating Income (Expense)
Mapping type: direct
Concepts used: OtherNonoperatingIncomeExpense = 1 mm
Unit conversion: raw USD to $mm
Sign: copied using model sign convention
Confidence: high
Value written: 1</t>
        </r>
      </text>
    </comment>
    <comment ref="M41" authorId="0">
      <text>
        <r>
          <rPr>
            <b/>
          </rPr>
          <t xml:space="preserve">EDGAR Mapper:
</t>
        </r>
        <r>
          <t xml:space="preserve">EDGAR mapping:
Source: 10-Q, accession #0001628280-25-047655, filed 2025-10-31
Period: 3Q24 / period ended 2024-09-30
Model row: Model!41 Other Non-Operating Income (Expense)
Mapping type: direct
Concepts used: OtherNonoperatingIncomeExpense = 10 mm
Unit conversion: raw USD to $mm
Sign: copied using model sign convention
Confidence: high
Value written: 10</t>
        </r>
      </text>
    </comment>
    <comment ref="N41" authorId="0">
      <text>
        <r>
          <rPr>
            <b/>
          </rPr>
          <t xml:space="preserve">EDGAR Mapper:
</t>
        </r>
        <r>
          <t xml:space="preserve">EDGAR mapping:
Source: SEC filing
Period: 4Q24
Model row: Model!41 Other Non-Operating Income (Expense)
Mapping type: direct
Concepts used: OtherNonoperatingIncomeExpense = 0 mm
Unit conversion: raw USD to $mm
Sign: copied using model sign convention
Confidence: high
Value written: 0
Notes: Quarterly value was derived from Other Nonoperating Income (Expense) less 1Q24, 2Q24, 3Q24.</t>
        </r>
      </text>
    </comment>
    <comment ref="P41" authorId="0">
      <text>
        <r>
          <rPr>
            <b/>
          </rPr>
          <t xml:space="preserve">EDGAR Mapper:
</t>
        </r>
        <r>
          <t xml:space="preserve">EDGAR mapping:
Source: 10-Q, accession #0001060391-26-000212, filed 2026-05-08
Period: 1Q25 / period ended 2025-03-31
Model row: Model!41 Other Non-Operating Income (Expense)
Mapping type: direct
Concepts used: OtherNonoperatingIncomeExpense = 11 mm
Unit conversion: raw USD to $mm
Sign: copied using model sign convention
Confidence: high
Value written: 11</t>
        </r>
      </text>
    </comment>
    <comment ref="Q41" authorId="0">
      <text>
        <r>
          <rPr>
            <b/>
          </rPr>
          <t xml:space="preserve">EDGAR Mapper:
</t>
        </r>
        <r>
          <t xml:space="preserve">EDGAR mapping:
Source: 10-Q, accession #0001060391-25-000216, filed 2025-07-30
Period: 2Q25 / period ended 2025-06-30
Model row: Model!41 Other Non-Operating Income (Expense)
Mapping type: direct
Concepts used: OtherNonoperatingIncomeExpense = 4 mm
Unit conversion: raw USD to $mm
Sign: copied using model sign convention
Confidence: high
Value written: 4</t>
        </r>
      </text>
    </comment>
    <comment ref="R41" authorId="0">
      <text>
        <r>
          <rPr>
            <b/>
          </rPr>
          <t xml:space="preserve">EDGAR Mapper:
</t>
        </r>
        <r>
          <t xml:space="preserve">======
ID#AAABbnJBV08
Microsoft Office User    (2025-01-14 21:09:38)
Brian Otaszewski: Loss on extinguishment of debt
EDGAR Mapper:
EDGAR mapping:
Source: 10-Q, accession #0001628280-25-047655, filed 2025-10-31
Period: 3Q25 / period ended 2025-09-30
Model row: Model!41 Other Non-Operating Income (Expense)
Mapping type: direct
Concepts used: OtherNonoperatingIncomeExpense = 7 mm
Unit conversion: raw USD to $mm
Sign: copied using model sign convention
Confidence: high
Value written: 7</t>
        </r>
      </text>
    </comment>
    <comment ref="S41" authorId="0">
      <text>
        <r>
          <rPr>
            <b/>
          </rPr>
          <t xml:space="preserve">EDGAR Mapper:
</t>
        </r>
        <r>
          <t xml:space="preserve">EDGAR mapping:
Source: SEC filing
Period: 4Q25
Model row: Model!41 Other Non-Operating Income (Expense)
Mapping type: direct
Concepts used: OtherNonoperatingIncomeExpense = -1 mm
Unit conversion: raw USD to $mm
Sign: copied using model sign convention
Confidence: high
Value written: -1
Notes: Quarterly value was derived from Other Nonoperating Income (Expense) less 1Q25, 2Q25, 3Q25.</t>
        </r>
      </text>
    </comment>
    <comment ref="W41" authorId="0">
      <text>
        <r>
          <rPr>
            <color rgb="FF000000"/>
            <family val="2"/>
            <sz val="11"/>
            <rFont val="Calibri"/>
          </rPr>
          <t xml:space="preserve">======
</t>
        </r>
        <r>
          <rPr>
            <color rgb="FF000000"/>
            <family val="2"/>
            <sz val="11"/>
            <rFont val="Calibri"/>
          </rPr>
          <t xml:space="preserve">ID#AAABbnJBV08
</t>
        </r>
        <r>
          <rPr>
            <color rgb="FF000000"/>
            <family val="2"/>
            <sz val="11"/>
            <rFont val="Calibri"/>
          </rPr>
          <t xml:space="preserve">Microsoft Office User    (2025-01-14 21:09:38)
</t>
        </r>
        <r>
          <rPr>
            <color rgb="FF000000"/>
            <family val="2"/>
            <sz val="11"/>
            <rFont val="Calibri"/>
          </rPr>
          <t>Brian Otaszewski: Loss on extinguishment of debt</t>
        </r>
      </text>
    </comment>
    <comment ref="C44" authorId="0">
      <text>
        <r>
          <rPr>
            <b/>
          </rPr>
          <t xml:space="preserve">EDGAR Mapper:
</t>
        </r>
        <r>
          <t>Mapped to EDGAR income tax expense/benefit using the model's negative-expense sign convention. Quarterly value was derived from Income Tax Expense (Benefit) less 1Q23, 2Q23, 3Q23. 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#0001060391-24-000205, filed 2024-05-01
Period: 1Q23 / period ended 2023-03-31
Model row: Model!44 Income Tax Benefit (Expense)
Mapping type: direct
Concepts used: IncomeTaxExpenseBenefit = 138.2 mm
Unit conversion: raw USD to $mm
Sign: copied using model sign convention
Confidence: high
Value written: -138.2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#0001060391-24-000273, filed 2024-07-25
Period: 2Q23 / period ended 2023-06-30
Model row: Model!44 Income Tax Benefit (Expense)
Mapping type: direct
Concepts used: IncomeTaxExpenseBenefit = 152.6 mm
Unit conversion: raw USD to $mm
Sign: copied using model sign convention
Confidence: high
Value written: -152.6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#0001060391-24-000324, filed 2024-10-30
Period: 3Q23 / period ended 2023-09-30
Model row: Model!44 Income Tax Benefit (Expense)
Mapping type: direct
Concepts used: IncomeTaxExpenseBenefit = 126 mm
Unit conversion: raw USD to $mm
Sign: copied using model sign convention
Confidence: high
Value written: -126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 xml:space="preserve">EDGAR mapping:
Source: SEC filing
Period: 4Q23
Model row: Model!44 Income Tax Benefit (Expense)
Mapping type: direct
Concepts used: IncomeTaxExpenseBenefit = 43.1 mm
Unit conversion: raw USD to $mm
Sign: copied using model sign convention
Confidence: high
Value written: -43.1
Notes: Mapped to EDGAR income tax expense/benefit using the model's negative-expense sign convention. Quarterly value was derived from Income Tax Expense (Benefit) less 1Q23, 2Q23, 3Q23.
EDGAR Mapper:
Calculated as the residual needed for the model's net income formula to tie to EDGAR net income.</t>
        </r>
      </text>
    </comment>
    <comment ref="K44" authorId="0">
      <text>
        <r>
          <rPr>
            <b/>
          </rPr>
          <t xml:space="preserve">EDGAR Mapper:
</t>
        </r>
        <r>
          <t xml:space="preserve">EDGAR mapping:
Source: 10-Q, accession #0001060391-25-000170, filed 2025-04-25
Period: 1Q24 / period ended 2024-03-31
Model row: Model!44 Income Tax Benefit (Expense)
Mapping type: direct
Concepts used: IncomeTaxExpenseBenefit = 145 mm
Unit conversion: raw USD to $mm
Sign: copied using model sign convention
Confidence: high
Value written: -145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#0001060391-25-000216, filed 2025-07-30
Period: 2Q24 / period ended 2024-06-30
Model row: Model!44 Income Tax Benefit (Expense)
Mapping type: direct
Concepts used: IncomeTaxExpenseBenefit = 142 mm
Unit conversion: raw USD to $mm
Sign: copied using model sign convention
Confidence: high
Value written: -142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#0001628280-25-047655, filed 2025-10-31
Period: 3Q24 / period ended 2024-09-30
Model row: Model!44 Income Tax Benefit (Expense)
Mapping type: direct
Concepts used: IncomeTaxExpenseBenefit = 81 mm
Unit conversion: raw USD to $mm
Sign: copied using model sign convention
Confidence: high
Value written: -81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SEC filing
Period: 4Q24
Model row: Model!44 Income Tax Benefit (Expense)
Mapping type: direct
Concepts used: IncomeTaxExpenseBenefit = 20 mm
Unit conversion: raw USD to $mm
Sign: copied using model sign convention
Confidence: high
Value written: -20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#0001060391-26-000212, filed 2026-05-08
Period: 1Q25 / period ended 2025-03-31
Model row: Model!44 Income Tax Benefit (Expense)
Mapping type: direct
Concepts used: IncomeTaxExpenseBenefit = 170 mm
Unit conversion: raw USD to $mm
Sign: copied using model sign convention
Confidence: high
Value written: -170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#0001060391-25-000216, filed 2025-07-30
Period: 2Q25 / period ended 2025-06-30
Model row: Model!44 Income Tax Benefit (Expense)
Mapping type: direct
Concepts used: IncomeTaxExpenseBenefit = 170 mm
Unit conversion: raw USD to $mm
Sign: copied using model sign convention
Confidence: high
Value written: -170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#0001628280-25-047655, filed 2025-10-31
Period: 3Q25 / period ended 2025-09-30
Model row: Model!44 Income Tax Benefit (Expense)
Mapping type: direct
Concepts used: IncomeTaxExpenseBenefit = 95 mm
Unit conversion: raw USD to $mm
Sign: copied using model sign convention
Confidence: high
Value written: -95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SEC filing
Period: 4Q25
Model row: Model!44 Income Tax Benefit (Expense)
Mapping type: direct
Concepts used: IncomeTaxExpenseBenefit = 20 mm
Unit conversion: raw USD to $mm
Sign: copied using model sign convention
Confidence: high
Value written: -20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F123" authorId="0">
      <text>
        <r>
          <rPr>
            <b/>
          </rPr>
          <t xml:space="preserve">EDGAR Mapper:
</t>
        </r>
        <r>
          <t xml:space="preserve">EDGAR mapping:
Source: 10-Q, accession #0001060391-24-000205, filed 2024-05-01
Period: 1Q23 / period ended 2023-03-31
Model row: Model!123 Cash &amp; Cash Equivalents
Mapping type: direct
Concepts used: CashAndCashEquivalentsAtCarryingValue = 132.2 mm
Unit conversion: raw USD to $mm
Sign: copied using model sign convention
Confidence: high
Value written: 132.2</t>
        </r>
      </text>
    </comment>
    <comment ref="G123" authorId="0">
      <text>
        <r>
          <rPr>
            <b/>
          </rPr>
          <t xml:space="preserve">EDGAR Mapper:
</t>
        </r>
        <r>
          <t xml:space="preserve">EDGAR mapping:
Source: 10-Q, accession #0001060391-24-000273, filed 2024-07-25
Period: 2Q23 / period ended 2023-06-30
Model row: Model!123 Cash &amp; Cash Equivalents
Mapping type: direct
Concepts used: CashAndCashEquivalentsAtCarryingValue = 181.6 mm
Unit conversion: raw USD to $mm
Sign: copied using model sign convention
Confidence: high
Value written: 181.6</t>
        </r>
      </text>
    </comment>
    <comment ref="H123" authorId="0">
      <text>
        <r>
          <rPr>
            <b/>
          </rPr>
          <t xml:space="preserve">EDGAR Mapper:
</t>
        </r>
        <r>
          <t xml:space="preserve">EDGAR mapping:
Source: 10-Q, accession #0001060391-24-000324, filed 2024-10-30
Period: 3Q23 / period ended 2023-09-30
Model row: Model!123 Cash &amp; Cash Equivalents
Mapping type: direct
Concepts used: CashAndCashEquivalentsAtCarryingValue = 157.5 mm
Unit conversion: raw USD to $mm
Sign: copied using model sign convention
Confidence: high
Value written: 157.5</t>
        </r>
      </text>
    </comment>
    <comment ref="I123" authorId="0">
      <text>
        <r>
          <rPr>
            <b/>
          </rPr>
          <t xml:space="preserve">EDGAR Mapper:
</t>
        </r>
        <r>
          <t xml:space="preserve">EDGAR mapping:
Source: 10-K, accession #0001060391-26-000094, filed 2026-02-18
Period: 4Q23 / period ended 2023-12-31
Model row: Model!123 Cash &amp; Cash Equivalents
Mapping type: direct
Concepts used: CashAndCashEquivalentsAtCarryingValue = 140 mm
Unit conversion: raw USD to $mm
Sign: copied using model sign convention
Confidence: high
Value written: 140</t>
        </r>
      </text>
    </comment>
    <comment ref="K123" authorId="0">
      <text>
        <r>
          <rPr>
            <b/>
          </rPr>
          <t xml:space="preserve">EDGAR Mapper:
</t>
        </r>
        <r>
          <t xml:space="preserve">EDGAR mapping:
Source: 10-Q, accession #0001060391-25-000170, filed 2025-04-25
Period: 1Q24 / period ended 2024-03-31
Model row: Model!123 Cash &amp; Cash Equivalents
Mapping type: direct
Concepts used: CashAndCashEquivalentsAtCarryingValue = 92 mm
Unit conversion: raw USD to $mm
Sign: copied using model sign convention
Confidence: high
Value written: 92</t>
        </r>
      </text>
    </comment>
    <comment ref="L123" authorId="0">
      <text>
        <r>
          <rPr>
            <b/>
          </rPr>
          <t xml:space="preserve">EDGAR Mapper:
</t>
        </r>
        <r>
          <t xml:space="preserve">EDGAR mapping:
Source: 10-Q, accession #0001060391-25-000216, filed 2025-07-30
Period: 2Q24 / period ended 2024-06-30
Model row: Model!123 Cash &amp; Cash Equivalents
Mapping type: direct
Concepts used: CashAndCashEquivalentsAtCarryingValue = 491 mm
Unit conversion: raw USD to $mm
Sign: copied using model sign convention
Confidence: high
Value written: 491</t>
        </r>
      </text>
    </comment>
    <comment ref="M123" authorId="0">
      <text>
        <r>
          <rPr>
            <b/>
          </rPr>
          <t xml:space="preserve">EDGAR Mapper:
</t>
        </r>
        <r>
          <t xml:space="preserve">EDGAR mapping:
Source: 10-Q, accession #0001628280-25-047655, filed 2025-10-31
Period: 3Q24 / period ended 2024-09-30
Model row: Model!123 Cash &amp; Cash Equivalents
Mapping type: direct
Concepts used: CashAndCashEquivalentsAtCarryingValue = 83 mm
Unit conversion: raw USD to $mm
Sign: copied using model sign convention
Confidence: high
Value written: 83</t>
        </r>
      </text>
    </comment>
    <comment ref="N123" authorId="0">
      <text>
        <r>
          <rPr>
            <b/>
          </rPr>
          <t xml:space="preserve">EDGAR Mapper:
</t>
        </r>
        <r>
          <t xml:space="preserve">EDGAR mapping:
Source: 10-K, accession #0001060391-26-000094, filed 2026-02-18
Period: 4Q24 / period ended 2024-12-31
Model row: Model!123 Cash &amp; Cash Equivalents
Mapping type: direct
Concepts used: CashAndCashEquivalentsAtCarryingValue = 74 mm
Unit conversion: raw USD to $mm
Sign: copied using model sign convention
Confidence: high
Value written: 74</t>
        </r>
      </text>
    </comment>
    <comment ref="P123" authorId="0">
      <text>
        <r>
          <rPr>
            <b/>
          </rPr>
          <t xml:space="preserve">EDGAR Mapper:
</t>
        </r>
        <r>
          <t xml:space="preserve">EDGAR mapping:
Source: 10-Q, accession #0001060391-26-000212, filed 2026-05-08
Period: 1Q25 / period ended 2025-03-31
Model row: Model!123 Cash &amp; Cash Equivalents
Mapping type: direct
Concepts used: CashAndCashEquivalentsAtCarryingValue = 83 mm
Unit conversion: raw USD to $mm
Sign: copied using model sign convention
Confidence: high
Value written: 83</t>
        </r>
      </text>
    </comment>
    <comment ref="Q123" authorId="0">
      <text>
        <r>
          <rPr>
            <b/>
          </rPr>
          <t xml:space="preserve">EDGAR Mapper:
</t>
        </r>
        <r>
          <t xml:space="preserve">EDGAR mapping:
Source: 10-Q, accession #0001060391-25-000216, filed 2025-07-30
Period: 2Q25 / period ended 2025-06-30
Model row: Model!123 Cash &amp; Cash Equivalents
Mapping type: direct
Concepts used: CashAndCashEquivalentsAtCarryingValue = 122 mm
Unit conversion: raw USD to $mm
Sign: copied using model sign convention
Confidence: high
Value written: 122</t>
        </r>
      </text>
    </comment>
    <comment ref="R123" authorId="0">
      <text>
        <r>
          <rPr>
            <b/>
          </rPr>
          <t xml:space="preserve">EDGAR Mapper:
</t>
        </r>
        <r>
          <t xml:space="preserve">EDGAR mapping:
Source: 10-Q, accession #0001628280-25-047655, filed 2025-10-31
Period: 3Q25 / period ended 2025-09-30
Model row: Model!123 Cash &amp; Cash Equivalents
Mapping type: direct
Concepts used: CashAndCashEquivalentsAtCarryingValue = 84 mm
Unit conversion: raw USD to $mm
Sign: copied using model sign convention
Confidence: high
Value written: 84</t>
        </r>
      </text>
    </comment>
    <comment ref="S123" authorId="0">
      <text>
        <r>
          <rPr>
            <b/>
          </rPr>
          <t xml:space="preserve">EDGAR Mapper:
</t>
        </r>
        <r>
          <t xml:space="preserve">EDGAR mapping:
Source: 10-K, accession #0001060391-26-000094, filed 2026-02-18
Period: 4Q25 / period ended 2025-12-31
Model row: Model!123 Cash &amp; Cash Equivalents
Mapping type: direct
Concepts used: CashAndCashEquivalentsAtCarryingValue = 76 mm
Unit conversion: raw USD to $mm
Sign: copied using model sign convention
Confidence: high
Value written: 76</t>
        </r>
      </text>
    </comment>
    <comment ref="C124" authorId="0">
      <text>
        <r>
          <rPr>
            <b/>
          </rPr>
          <t xml:space="preserve">EDGAR Mapper:
</t>
        </r>
        <r>
          <t>Grouped from EDGAR: Accounts Receivable, after Allowance for Credit Loss, Current. Grouped from EDGAR: Accounts Receivable net Current.</t>
        </r>
      </text>
    </comment>
    <comment ref="F124" authorId="0">
      <text>
        <r>
          <rPr>
            <b/>
          </rPr>
          <t xml:space="preserve">EDGAR Mapper:
</t>
        </r>
        <r>
          <t xml:space="preserve">EDGAR mapping:
Source: 10-Q, accession #0001060391-23-000013, filed 2023-04-28
Period: 1Q23 / period ended 2023-03-31
Model row: Model!124 Accounts Receivable
Mapping type: grouped
Concepts used: AccountsReceivableNetCurrent = 1686.4 mm
Unit conversion: raw USD to $mm
Sign: copied using model sign convention
Confidence: high
Value written: 1686.4
Notes: Grouped from EDGAR: Accounts Receivable, after Allowance for Credit Loss, Current.</t>
        </r>
      </text>
    </comment>
    <comment ref="G124" authorId="0">
      <text>
        <r>
          <rPr>
            <b/>
          </rPr>
          <t xml:space="preserve">EDGAR Mapper:
</t>
        </r>
        <r>
          <t xml:space="preserve">EDGAR mapping:
Source: 10-Q, accession #0001060391-23-000019, filed 2023-08-01
Period: 2Q23 / period ended 2023-06-30
Model row: Model!124 Accounts Receivable
Mapping type: grouped
Concepts used: AccountsReceivableNetCurrent = 1740 mm
Unit conversion: raw USD to $mm
Sign: copied using model sign convention
Confidence: high
Value written: 1740
Notes: Grouped from EDGAR: Accounts Receivable, after Allowance for Credit Loss, Current.</t>
        </r>
      </text>
    </comment>
    <comment ref="H124" authorId="0">
      <text>
        <r>
          <rPr>
            <b/>
          </rPr>
          <t xml:space="preserve">EDGAR Mapper:
</t>
        </r>
        <r>
          <t xml:space="preserve">EDGAR mapping:
Source: 10-Q, accession #0001060391-23-000025, filed 2023-10-27
Period: 3Q23 / period ended 2023-09-30
Model row: Model!124 Accounts Receivable
Mapping type: grouped
Concepts used: AccountsReceivableNetCurrent = 1829.7 mm
Unit conversion: raw USD to $mm
Sign: copied using model sign convention
Confidence: high
Value written: 1829.7
Notes: Grouped from EDGAR: Accounts Receivable, after Allowance for Credit Loss, Current.</t>
        </r>
      </text>
    </comment>
    <comment ref="I124" authorId="0">
      <text>
        <r>
          <rPr>
            <b/>
          </rPr>
          <t xml:space="preserve">EDGAR Mapper:
</t>
        </r>
        <r>
          <t xml:space="preserve">EDGAR mapping:
Source: 10-K, accession #0001060391-25-000091, filed 2025-02-14
Period: 4Q23 / period ended 2023-12-31
Model row: Model!124 Accounts Receivable
Mapping type: grouped
Concepts used: AccountsReceivableNetCurrent = 1768 mm
Unit conversion: raw USD to $mm
Sign: copied using model sign convention
Confidence: high
Value written: 1768
Notes: Grouped from EDGAR: Accounts Receivable, after Allowance for Credit Loss, Current.</t>
        </r>
      </text>
    </comment>
    <comment ref="K124" authorId="0">
      <text>
        <r>
          <rPr>
            <b/>
          </rPr>
          <t xml:space="preserve">EDGAR Mapper:
</t>
        </r>
        <r>
          <t xml:space="preserve">EDGAR mapping:
Source: 10-Q, accession #0001060391-24-000205, filed 2024-05-01
Period: 1Q24 / period ended 2024-03-31
Model row: Model!124 Accounts Receivable
Mapping type: grouped
Concepts used: AccountsReceivableNetCurrent = 1763 mm
Unit conversion: raw USD to $mm
Sign: copied using model sign convention
Confidence: high
Value written: 1763
Notes: Grouped from EDGAR: Accounts Receivable, after Allowance for Credit Loss, Current.</t>
        </r>
      </text>
    </comment>
    <comment ref="L124" authorId="0">
      <text>
        <r>
          <rPr>
            <b/>
          </rPr>
          <t xml:space="preserve">EDGAR Mapper:
</t>
        </r>
        <r>
          <t xml:space="preserve">EDGAR mapping:
Source: 10-Q, accession #0001060391-24-000273, filed 2024-07-25
Period: 2Q24 / period ended 2024-06-30
Model row: Model!124 Accounts Receivable
Mapping type: grouped
Concepts used: AccountsReceivableNetCurrent = 1817.8 mm
Unit conversion: raw USD to $mm
Sign: copied using model sign convention
Confidence: high
Value written: 1817.8
Notes: Grouped from EDGAR: Accounts Receivable, after Allowance for Credit Loss, Current.</t>
        </r>
      </text>
    </comment>
    <comment ref="M124" authorId="0">
      <text>
        <r>
          <rPr>
            <b/>
          </rPr>
          <t xml:space="preserve">EDGAR Mapper:
</t>
        </r>
        <r>
          <t xml:space="preserve">EDGAR mapping:
Source: 10-Q, accession #0001060391-24-000324, filed 2024-10-30
Period: 3Q24 / period ended 2024-09-30
Model row: Model!124 Accounts Receivable
Mapping type: grouped
Concepts used: AccountsReceivableNetCurrent = 1847.5 mm
Unit conversion: raw USD to $mm
Sign: copied using model sign convention
Confidence: high
Value written: 1847.5
Notes: Grouped from EDGAR: Accounts Receivable, after Allowance for Credit Loss, Current.</t>
        </r>
      </text>
    </comment>
    <comment ref="N124" authorId="0">
      <text>
        <r>
          <rPr>
            <b/>
          </rPr>
          <t xml:space="preserve">EDGAR Mapper:
</t>
        </r>
        <r>
          <t xml:space="preserve">EDGAR mapping:
Source: 10-K, accession #0001060391-26-000094, filed 2026-02-18
Period: 4Q24 / period ended 2024-12-31
Model row: Model!124 Accounts Receivable
Mapping type: grouped
Concepts used: AccountsReceivableNetCurrent = 1821 mm
Unit conversion: raw USD to $mm
Sign: copied using model sign convention
Confidence: high
Value written: 1821
Notes: Grouped from EDGAR: Accounts Receivable, after Allowance for Credit Loss, Current.</t>
        </r>
      </text>
    </comment>
    <comment ref="P124" authorId="0">
      <text>
        <r>
          <rPr>
            <b/>
          </rPr>
          <t xml:space="preserve">EDGAR Mapper:
</t>
        </r>
        <r>
          <t xml:space="preserve">EDGAR mapping:
Source: 10-Q, accession #0001060391-25-000170, filed 2025-04-25
Period: 1Q25 / period ended 2025-03-31
Model row: Model!124 Accounts Receivable
Mapping type: grouped
Concepts used: AccountsReceivableNetCurrent = 1854 mm
Unit conversion: raw USD to $mm
Sign: copied using model sign convention
Confidence: high
Value written: 1854
Notes: Grouped from EDGAR: Accounts Receivable, after Allowance for Credit Loss, Current.</t>
        </r>
      </text>
    </comment>
    <comment ref="Q124" authorId="0">
      <text>
        <r>
          <rPr>
            <b/>
          </rPr>
          <t xml:space="preserve">EDGAR Mapper:
</t>
        </r>
        <r>
          <t xml:space="preserve">EDGAR mapping:
Source: 10-Q, accession #0001060391-25-000216, filed 2025-07-30
Period: 2Q25 / period ended 2025-06-30
Model row: Model!124 Accounts Receivable
Mapping type: grouped
Concepts used: AccountsReceivableNetCurrent = 1880 mm
Unit conversion: raw USD to $mm
Sign: copied using model sign convention
Confidence: high
Value written: 1880
Notes: Grouped from EDGAR: Accounts Receivable, after Allowance for Credit Loss, Current.</t>
        </r>
      </text>
    </comment>
    <comment ref="R124" authorId="0">
      <text>
        <r>
          <rPr>
            <b/>
          </rPr>
          <t xml:space="preserve">EDGAR Mapper:
</t>
        </r>
        <r>
          <t xml:space="preserve">EDGAR mapping:
Source: 10-Q, accession #0001628280-25-047655, filed 2025-10-31
Period: 3Q25 / period ended 2025-09-30
Model row: Model!124 Accounts Receivable
Mapping type: grouped
Concepts used: AccountsReceivableNetCurrent = 1900 mm
Unit conversion: raw USD to $mm
Sign: copied using model sign convention
Confidence: high
Value written: 1900
Notes: Grouped from EDGAR: Accounts Receivable, after Allowance for Credit Loss, Current.</t>
        </r>
      </text>
    </comment>
    <comment ref="S124" authorId="0">
      <text>
        <r>
          <rPr>
            <b/>
          </rPr>
          <t xml:space="preserve">EDGAR Mapper:
</t>
        </r>
        <r>
          <t xml:space="preserve">EDGAR mapping:
Source: 10-K, accession #0001060391-26-000094, filed 2026-02-18
Period: 4Q25 / period ended 2025-12-31
Model row: Model!124 Accounts Receivable
Mapping type: grouped
Concepts used: AccountsReceivableNetCurrent = 1897 mm
Unit conversion: raw USD to $mm
Sign: copied using model sign convention
Confidence: high
Value written: 1897
Notes: Grouped from EDGAR: Accounts Receivable net Current.</t>
        </r>
      </text>
    </comment>
    <comment ref="F125" authorId="0">
      <text>
        <r>
          <rPr>
            <b/>
          </rPr>
          <t xml:space="preserve">EDGAR Mapper:
</t>
        </r>
        <r>
          <t xml:space="preserve">EDGAR mapping:
Source: 10-Q, accession #0001060391-23-000013, filed 2023-04-28
Period: 1Q23 / period ended 2023-03-31
Model row: Model!125 Inventory
Mapping type: direct
Concepts used: InventoryNet = 97.9 mm
Unit conversion: raw USD to $mm
Sign: copied using model sign convention
Confidence: high
Value written: 97.9</t>
        </r>
      </text>
    </comment>
    <comment ref="G125" authorId="0">
      <text>
        <r>
          <rPr>
            <b/>
          </rPr>
          <t xml:space="preserve">EDGAR Mapper:
</t>
        </r>
        <r>
          <t xml:space="preserve">EDGAR mapping:
Source: 10-Q, accession #0001060391-23-000019, filed 2023-08-01
Period: 2Q23 / period ended 2023-06-30
Model row: Model!125 Inventory
Mapping type: direct
Concepts used: InventoryNet = 96.1 mm
Unit conversion: raw USD to $mm
Sign: copied using model sign convention
Confidence: high
Value written: 96.1</t>
        </r>
      </text>
    </comment>
    <comment ref="H125" authorId="0">
      <text>
        <r>
          <rPr>
            <b/>
          </rPr>
          <t xml:space="preserve">EDGAR Mapper:
</t>
        </r>
        <r>
          <t xml:space="preserve">EDGAR mapping:
Source: 10-Q, accession #0001060391-23-000025, filed 2023-10-27
Period: 3Q23 / period ended 2023-09-30
Model row: Model!125 Inventory
Mapping type: direct
Concepts used: InventoryNet = 100 mm
Unit conversion: raw USD to $mm
Sign: copied using model sign convention
Confidence: high
Value written: 100</t>
        </r>
      </text>
    </comment>
    <comment ref="I125" authorId="0">
      <text>
        <r>
          <rPr>
            <b/>
          </rPr>
          <t xml:space="preserve">EDGAR Mapper:
</t>
        </r>
        <r>
          <t xml:space="preserve">EDGAR mapping:
Source: 10-K, accession #0001060391-25-000091, filed 2025-02-14
Period: 4Q23 / period ended 2023-12-31
Model row: Model!125 Inventory
Mapping type: direct
Concepts used: InventoryNet = 98 mm
Unit conversion: raw USD to $mm
Sign: copied using model sign convention
Confidence: high
Value written: 98</t>
        </r>
      </text>
    </comment>
    <comment ref="K125" authorId="0">
      <text>
        <r>
          <rPr>
            <b/>
          </rPr>
          <t xml:space="preserve">EDGAR Mapper:
</t>
        </r>
        <r>
          <t xml:space="preserve">EDGAR mapping:
Source: 10-Q, accession #0001060391-24-000205, filed 2024-05-01
Period: 1Q24 / period ended 2024-03-31
Model row: Model!125 Inventory
Mapping type: direct
Concepts used: InventoryNet = 101.4 mm
Unit conversion: raw USD to $mm
Sign: copied using model sign convention
Confidence: high
Value written: 101.4</t>
        </r>
      </text>
    </comment>
    <comment ref="L125" authorId="0">
      <text>
        <r>
          <rPr>
            <b/>
          </rPr>
          <t xml:space="preserve">EDGAR Mapper:
</t>
        </r>
        <r>
          <t xml:space="preserve">EDGAR mapping:
Source: 10-Q, accession #0001060391-24-000273, filed 2024-07-25
Period: 2Q24 / period ended 2024-06-30
Model row: Model!125 Inventory
Mapping type: direct
Concepts used: InventoryNet = 99.9 mm
Unit conversion: raw USD to $mm
Sign: copied using model sign convention
Confidence: high
Value written: 99.9</t>
        </r>
      </text>
    </comment>
    <comment ref="M125" authorId="0">
      <text>
        <r>
          <rPr>
            <b/>
          </rPr>
          <t xml:space="preserve">EDGAR Mapper:
</t>
        </r>
        <r>
          <t xml:space="preserve">EDGAR mapping:
Source: 10-Q, accession #0001060391-24-000324, filed 2024-10-30
Period: 3Q24 / period ended 2024-09-30
Model row: Model!125 Inventory
Mapping type: direct
Concepts used: InventoryNet = 97.7 mm
Unit conversion: raw USD to $mm
Sign: copied using model sign convention
Confidence: high
Value written: 97.7</t>
        </r>
      </text>
    </comment>
    <comment ref="N125" authorId="0">
      <text>
        <r>
          <rPr>
            <b/>
          </rPr>
          <t xml:space="preserve">EDGAR Mapper:
</t>
        </r>
        <r>
          <t xml:space="preserve">EDGAR mapping:
Source: 10-K, accession #0001060391-26-000094, filed 2026-02-18
Period: 4Q24 / period ended 2024-12-31
Model row: Model!125 Inventory
Mapping type: direct
Concepts used: InventoryNet = 98 mm
Unit conversion: raw USD to $mm
Sign: copied using model sign convention
Confidence: high
Value written: 98</t>
        </r>
      </text>
    </comment>
    <comment ref="P125" authorId="0">
      <text>
        <r>
          <rPr>
            <b/>
          </rPr>
          <t xml:space="preserve">EDGAR Mapper:
</t>
        </r>
        <r>
          <t xml:space="preserve">EDGAR mapping:
Source: 10-Q, accession #0001060391-25-000170, filed 2025-04-25
Period: 1Q25 / period ended 2025-03-31
Model row: Model!125 Inventory
Mapping type: direct
Concepts used: InventoryNet = 102 mm
Unit conversion: raw USD to $mm
Sign: copied using model sign convention
Confidence: high
Value written: 102</t>
        </r>
      </text>
    </comment>
    <comment ref="Q125" authorId="0">
      <text>
        <r>
          <rPr>
            <b/>
          </rPr>
          <t xml:space="preserve">EDGAR Mapper:
</t>
        </r>
        <r>
          <t xml:space="preserve">EDGAR mapping:
Source: 10-Q, accession #0001060391-25-000216, filed 2025-07-30
Period: 2Q25 / period ended 2025-06-30
Model row: Model!125 Inventory
Mapping type: direct
Concepts used: InventoryNet = 104 mm
Unit conversion: raw USD to $mm
Sign: copied using model sign convention
Confidence: high
Value written: 104</t>
        </r>
      </text>
    </comment>
    <comment ref="R125" authorId="0">
      <text>
        <r>
          <rPr>
            <b/>
          </rPr>
          <t xml:space="preserve">EDGAR Mapper:
</t>
        </r>
        <r>
          <t xml:space="preserve">EDGAR mapping:
Source: 10-Q, accession #0001628280-25-047655, filed 2025-10-31
Period: 3Q25 / period ended 2025-09-30
Model row: Model!125 Inventory
Mapping type: direct
Concepts used: InventoryNet = 103 mm
Unit conversion: raw USD to $mm
Sign: copied using model sign convention
Confidence: high
Value written: 103</t>
        </r>
      </text>
    </comment>
    <comment ref="S125" authorId="0">
      <text>
        <r>
          <rPr>
            <b/>
          </rPr>
          <t xml:space="preserve">EDGAR Mapper:
</t>
        </r>
        <r>
          <t xml:space="preserve">EDGAR mapping:
Source: 10-K, accession #0001060391-26-000094, filed 2026-02-18
Period: 4Q25 / period ended 2025-12-31
Model row: Model!125 Inventory
Mapping type: direct
Concepts used: InventoryNet = 106 mm
Unit conversion: raw USD to $mm
Sign: copied using model sign convention
Confidence: high
Value written: 106</t>
        </r>
      </text>
    </comment>
    <comment ref="C126" authorId="0">
      <text>
        <r>
          <rPr>
            <b/>
          </rPr>
          <t xml:space="preserve">EDGAR Mapper:
</t>
        </r>
        <r>
          <t xml:space="preserve">======
ID#AAABbnJBVzo
Luke Brennan    (2025-01-14 21:09:38)
Costs capitalized to obtain revenue contracts, net
Prepaid expenses and other current assets
Marketable securities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6" authorId="0">
      <text>
        <r>
          <rPr>
            <b/>
          </rPr>
          <t xml:space="preserve">EDGAR Mapper:
</t>
        </r>
        <r>
          <t xml:space="preserve">EDGAR mapping:
Source: 10-Q, accession #0001060391-23-000013, filed 2023-04-28
Period: 1Q23 / period ended 2023-03-31
Model row: Model!126 Prepaid &amp; Other Current Assets
Mapping type: grouped
Concepts used: AssetsCurrent = 2241.4 mm; CashAndCashEquivalentsAtCarryingValue = 132.2 mm; AccountsReceivableNetCurrent = 1686.4 mm; InventoryNet = 97.9 mm
Unit conversion: raw USD to $mm
Sign: copied using model sign convention
Confidence: high
Value written: 324.9
Notes: Grouped from EDGAR: Assets, Current, Cash and Cash Equivalents, at Carrying Value, Accounts Receivable, after Allowance for Credit Loss, Current, Inventory, Net. Included current assets less separately modeled cash, receivables, and inventory.</t>
        </r>
      </text>
    </comment>
    <comment ref="G126" authorId="0">
      <text>
        <r>
          <rPr>
            <b/>
          </rPr>
          <t xml:space="preserve">EDGAR Mapper:
</t>
        </r>
        <r>
          <t xml:space="preserve">EDGAR mapping:
Source: 10-Q, accession #0001060391-23-000019, filed 2023-08-01
Period: 2Q23 / period ended 2023-06-30
Model row: Model!126 Prepaid &amp; Other Current Assets
Mapping type: grouped
Concepts used: AssetsCurrent = 2261.7 mm; CashAndCashEquivalentsAtCarryingValue = 181.6 mm; AccountsReceivableNetCurrent = 1740 mm; InventoryNet = 96.1 mm
Unit conversion: raw USD to $mm
Sign: copied using model sign convention
Confidence: high
Value written: 244
Notes: Grouped from EDGAR: Assets, Current, Cash and Cash Equivalents, at Carrying Value, Accounts Receivable, after Allowance for Credit Loss, Current, Inventory, Net. Included current assets less separately modeled cash, receivables, and inventory.</t>
        </r>
      </text>
    </comment>
    <comment ref="H126" authorId="0">
      <text>
        <r>
          <rPr>
            <b/>
          </rPr>
          <t xml:space="preserve">EDGAR Mapper:
</t>
        </r>
        <r>
          <t xml:space="preserve">EDGAR mapping:
Source: 10-Q, accession #0001060391-23-000025, filed 2023-10-27
Period: 3Q23 / period ended 2023-09-30
Model row: Model!126 Prepaid &amp; Other Current Assets
Mapping type: grouped
Concepts used: AssetsCurrent = 2348.4 mm; CashAndCashEquivalentsAtCarryingValue = 157.5 mm; AccountsReceivableNetCurrent = 1829.7 mm; InventoryNet = 100 mm
Unit conversion: raw USD to $mm
Sign: copied using model sign convention
Confidence: high
Value written: 261.2
Notes: Grouped from EDGAR: Assets, Current, Cash and Cash Equivalents, at Carrying Value, Accounts Receivable, after Allowance for Credit Loss, Current, Inventory, Net. Included current assets less separately modeled cash, receivables, and inventory.</t>
        </r>
      </text>
    </comment>
    <comment ref="I126" authorId="0">
      <text>
        <r>
          <rPr>
            <b/>
          </rPr>
          <t xml:space="preserve">EDGAR Mapper:
</t>
        </r>
        <r>
          <t xml:space="preserve">EDGAR mapping:
Source: 10-K, accession #0001060391-25-000091, filed 2025-02-14
Period: 4Q23 / period ended 2023-12-31
Model row: Model!126 Prepaid &amp; Other Current Assets
Mapping type: grouped
Concepts used: AssetsCurrent = 2381 mm; CashAndCashEquivalentsAtCarryingValue = 140 mm; AccountsReceivableNetCurrent = 1768 mm; InventoryNet = 98 mm
Unit conversion: raw USD to $mm
Sign: copied using model sign convention
Confidence: high
Value written: 375
Notes: Grouped from EDGAR: Assets, Current, Cash and Cash Equivalents, at Carrying Value, Accounts Receivable, after Allowance for Credit Loss, Current, Inventory, Net. Included current assets less separately modeled cash, receivables, and inventory.</t>
        </r>
      </text>
    </comment>
    <comment ref="K126" authorId="0">
      <text>
        <r>
          <rPr>
            <b/>
          </rPr>
          <t xml:space="preserve">EDGAR Mapper:
</t>
        </r>
        <r>
          <t xml:space="preserve">EDGAR mapping:
Source: 10-Q, accession #0001060391-24-000205, filed 2024-05-01
Period: 1Q24 / period ended 2024-03-31
Model row: Model!126 Prepaid &amp; Other Current Assets
Mapping type: grouped
Concepts used: AssetsCurrent = 2273.6 mm; CashAndCashEquivalentsAtCarryingValue = 92 mm; AccountsReceivableNetCurrent = 1763 mm; InventoryNet = 101.4 mm
Unit conversion: raw USD to $mm
Sign: copied using model sign convention
Confidence: high
Value written: 317.2
Notes: Grouped from EDGAR: Assets, Current, Cash and Cash Equivalents, at Carrying Value, Accounts Receivable, after Allowance for Credit Loss, Current, Inventory, Net. Included current assets less separately modeled cash, receivables, and inventory.</t>
        </r>
      </text>
    </comment>
    <comment ref="L126" authorId="0">
      <text>
        <r>
          <rPr>
            <b/>
          </rPr>
          <t xml:space="preserve">EDGAR Mapper:
</t>
        </r>
        <r>
          <t xml:space="preserve">EDGAR mapping:
Source: 10-Q, accession #0001060391-24-000273, filed 2024-07-25
Period: 2Q24 / period ended 2024-06-30
Model row: Model!126 Prepaid &amp; Other Current Assets
Mapping type: grouped
Concepts used: AssetsCurrent = 2659.7 mm; CashAndCashEquivalentsAtCarryingValue = 491 mm; AccountsReceivableNetCurrent = 1817.8 mm; InventoryNet = 99.9 mm
Unit conversion: raw USD to $mm
Sign: copied using model sign convention
Confidence: high
Value written: 251
Notes: Grouped from EDGAR: Assets, Current, Cash and Cash Equivalents, at Carrying Value, Accounts Receivable, after Allowance for Credit Loss, Current, Inventory, Net. Included current assets less separately modeled cash, receivables, and inventory.</t>
        </r>
      </text>
    </comment>
    <comment ref="M126" authorId="0">
      <text>
        <r>
          <rPr>
            <b/>
          </rPr>
          <t xml:space="preserve">EDGAR Mapper:
</t>
        </r>
        <r>
          <t xml:space="preserve">EDGAR mapping:
Source: 10-Q, accession #0001060391-24-000324, filed 2024-10-30
Period: 3Q24 / period ended 2024-09-30
Model row: Model!126 Prepaid &amp; Other Current Assets
Mapping type: grouped
Concepts used: AssetsCurrent = 2348.4 mm; CashAndCashEquivalentsAtCarryingValue = 83 mm; AccountsReceivableNetCurrent = 1847.5 mm; InventoryNet = 97.7 mm
Unit conversion: raw USD to $mm
Sign: copied using model sign convention
Confidence: high
Value written: 320.2
Notes: Grouped from EDGAR: Assets, Current, Cash and Cash Equivalents, at Carrying Value, Accounts Receivable, after Allowance for Credit Loss, Current, Inventory, Net. Included current assets less separately modeled cash, receivables, and inventory.</t>
        </r>
      </text>
    </comment>
    <comment ref="N126" authorId="0">
      <text>
        <r>
          <rPr>
            <b/>
          </rPr>
          <t xml:space="preserve">EDGAR Mapper:
</t>
        </r>
        <r>
          <t xml:space="preserve">EDGAR mapping:
Source: 10-K, accession #0001060391-26-000094, filed 2026-02-18
Period: 4Q24 / period ended 2024-12-31
Model row: Model!126 Prepaid &amp; Other Current Assets
Mapping type: grouped
Concepts used: AssetsCurrent = 2406 mm; CashAndCashEquivalentsAtCarryingValue = 74 mm; AccountsReceivableNetCurrent = 1821 mm; InventoryNet = 98 mm
Unit conversion: raw USD to $mm
Sign: copied using model sign convention
Confidence: high
Value written: 413
Notes: Grouped from EDGAR: Assets, Current, Cash and Cash Equivalents At Carrying Value, Accounts Receivable, after Allowance for Credit Loss, Current, Inventory, Net. Included current assets less separately modeled cash, receivables, and inventory.</t>
        </r>
      </text>
    </comment>
    <comment ref="P126" authorId="0">
      <text>
        <r>
          <rPr>
            <b/>
          </rPr>
          <t xml:space="preserve">EDGAR Mapper:
</t>
        </r>
        <r>
          <t xml:space="preserve">EDGAR mapping:
Source: 10-Q, accession #0001060391-25-000170, filed 2025-04-25
Period: 1Q25 / period ended 2025-03-31
Model row: Model!126 Prepaid &amp; Other Current Assets
Mapping type: grouped
Concepts used: AssetsCurrent = 2321 mm; CashAndCashEquivalentsAtCarryingValue = 83 mm; AccountsReceivableNetCurrent = 1854 mm; InventoryNet = 102 mm
Unit conversion: raw USD to $mm
Sign: copied using model sign convention
Confidence: high
Value written: 282
Notes: Grouped from EDGAR: Assets, Current, Cash and Cash Equivalents, at Carrying Value, Accounts Receivable, after Allowance for Credit Loss, Current, Inventory, Net. Included current assets less separately modeled cash, receivables, and inventory.</t>
        </r>
      </text>
    </comment>
    <comment ref="Q126" authorId="0">
      <text>
        <r>
          <rPr>
            <b/>
          </rPr>
          <t xml:space="preserve">EDGAR Mapper:
</t>
        </r>
        <r>
          <t xml:space="preserve">EDGAR mapping:
Source: 10-Q, accession #0001060391-25-000216, filed 2025-07-30
Period: 2Q25 / period ended 2025-06-30
Model row: Model!126 Prepaid &amp; Other Current Assets
Mapping type: grouped
Concepts used: AssetsCurrent = 2416 mm; CashAndCashEquivalentsAtCarryingValue = 122 mm; AccountsReceivableNetCurrent = 1880 mm; InventoryNet = 104 mm
Unit conversion: raw USD to $mm
Sign: copied using model sign convention
Confidence: high
Value written: 310
Notes: Grouped from EDGAR: Assets, Current, Cash and Cash Equivalents, at Carrying Value, Accounts Receivable, after Allowance for Credit Loss, Current, Inventory, Net. Included current assets less separately modeled cash, receivables, and inventory.</t>
        </r>
      </text>
    </comment>
    <comment ref="R126" authorId="0">
      <text>
        <r>
          <rPr>
            <b/>
          </rPr>
          <t xml:space="preserve">EDGAR Mapper:
</t>
        </r>
        <r>
          <t xml:space="preserve">EDGAR mapping:
Source: 10-Q, accession #0001628280-25-047655, filed 2025-10-31
Period: 3Q25 / period ended 2025-09-30
Model row: Model!126 Prepaid &amp; Other Current Assets
Mapping type: grouped
Concepts used: AssetsCurrent = 2484 mm; CashAndCashEquivalentsAtCarryingValue = 84 mm; AccountsReceivableNetCurrent = 1900 mm; InventoryNet = 103 mm
Unit conversion: raw USD to $mm
Sign: copied using model sign convention
Confidence: high
Value written: 397
Notes: Grouped from EDGAR: Assets, Current, Cash and Cash Equivalents, at Carrying Value, Accounts Receivable, after Allowance for Credit Loss, Current, Inventory, Net. Included current assets less separately modeled cash, receivables, and inventory.</t>
        </r>
      </text>
    </comment>
    <comment ref="S126" authorId="0">
      <text>
        <r>
          <rPr>
            <b/>
          </rPr>
          <t xml:space="preserve">EDGAR Mapper:
</t>
        </r>
        <r>
          <t xml:space="preserve">EDGAR mapping:
Source: 10-Q, accession #0001060391-26-000212, filed 2026-05-08
Period: 4Q25 / period ended 2025-12-31
Model row: Model!126 Prepaid &amp; Other Current Assets
Mapping type: grouped
Concepts used: AssetsCurrent = 2523 mm; CashAndCashEquivalentsAtCarryingValue = 76 mm; AccountsReceivableNetCurrent = 1897 mm; InventoryNet = 106 mm
Unit conversion: raw USD to $mm
Sign: copied using model sign convention
Confidence: high
Value written: 444
Notes: Grouped from EDGAR: Assets, Current, Cash and Cash Equivalents At Carrying Value, Accounts Receivable net Current, Inventory net. Included current assets less separately modeled cash, receivables, and inventory.</t>
        </r>
      </text>
    </comment>
    <comment ref="C129"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t>
        </r>
      </text>
    </comment>
    <comment ref="F129" authorId="0">
      <text>
        <r>
          <rPr>
            <b/>
          </rPr>
          <t xml:space="preserve">EDGAR Mapper:
</t>
        </r>
        <r>
          <t xml:space="preserve">EDGAR mapping:
Source: 10-Q, accession #0001060391-23-000013, filed 2023-04-28
Period: 1Q23 / period ended 2023-03-31
Model row: Model!129 PP&amp;E, Net
Mapping type: grouped
Concepts used: PropertyPlantAndEquipmentAndFinanceLeaseRightOfUseAssetAfterAccumulatedDepreciationAndAmortization = 10658.6 mm
Unit conversion: raw USD to $mm
Sign: copied using model sign convention
Confidence: high
Value written: 10658.6
Notes: Grouped from EDGAR: Property, Plant, and Equipment and Finance Lease Right-of-Use Asset, after Accumulated Depreciation and Amortization.</t>
        </r>
      </text>
    </comment>
    <comment ref="G129" authorId="0">
      <text>
        <r>
          <rPr>
            <b/>
          </rPr>
          <t xml:space="preserve">EDGAR Mapper:
</t>
        </r>
        <r>
          <t xml:space="preserve">EDGAR mapping:
Source: 10-Q, accession #0001060391-23-000019, filed 2023-08-01
Period: 2Q23 / period ended 2023-06-30
Model row: Model!129 PP&amp;E, Net
Mapping type: grouped
Concepts used: PropertyPlantAndEquipmentAndFinanceLeaseRightOfUseAssetAfterAccumulatedDepreciationAndAmortization = 10561.7 mm
Unit conversion: raw USD to $mm
Sign: copied using model sign convention
Confidence: high
Value written: 10561.7
Notes: Grouped from EDGAR: Property, Plant, and Equipment and Finance Lease Right-of-Use Asset, after Accumulated Depreciation and Amortization.</t>
        </r>
      </text>
    </comment>
    <comment ref="H129" authorId="0">
      <text>
        <r>
          <rPr>
            <b/>
          </rPr>
          <t xml:space="preserve">EDGAR Mapper:
</t>
        </r>
        <r>
          <t xml:space="preserve">EDGAR mapping:
Source: 10-Q, accession #0001060391-23-000025, filed 2023-10-27
Period: 3Q23 / period ended 2023-09-30
Model row: Model!129 PP&amp;E, Net
Mapping type: grouped
Concepts used: PropertyPlantAndEquipmentAndFinanceLeaseRightOfUseAssetAfterAccumulatedDepreciationAndAmortization = 10701.4 mm
Unit conversion: raw USD to $mm
Sign: copied using model sign convention
Confidence: high
Value written: 10701.4
Notes: Grouped from EDGAR: Property, Plant, and Equipment and Finance Lease Right-of-Use Asset, after Accumulated Depreciation and Amortization.</t>
        </r>
      </text>
    </comment>
    <comment ref="I129" authorId="0">
      <text>
        <r>
          <rPr>
            <b/>
          </rPr>
          <t xml:space="preserve">EDGAR Mapper:
</t>
        </r>
        <r>
          <t xml:space="preserve">EDGAR mapping:
Source: 10-K, accession #0001060391-25-000091, filed 2025-02-14
Period: 4Q23 / period ended 2023-12-31
Model row: Model!129 PP&amp;E, Net
Mapping type: grouped
Concepts used: PropertyPlantAndEquipmentAndFinanceLeaseRightOfUseAssetAfterAccumulatedDepreciationAndAmortization = 11351 mm
Unit conversion: raw USD to $mm
Sign: copied using model sign convention
Confidence: high
Value written: 11351
Notes: Grouped from EDGAR: Property, Plant, and Equipment and Finance Lease Right-of-Use Asset, after Accumulated Depreciation and Amortization.</t>
        </r>
      </text>
    </comment>
    <comment ref="K129" authorId="0">
      <text>
        <r>
          <rPr>
            <b/>
          </rPr>
          <t xml:space="preserve">EDGAR Mapper:
</t>
        </r>
        <r>
          <t xml:space="preserve">EDGAR mapping:
Source: 10-Q, accession #0001060391-24-000205, filed 2024-05-01
Period: 1Q24 / period ended 2024-03-31
Model row: Model!129 PP&amp;E, Net
Mapping type: grouped
Concepts used: PropertyPlantAndEquipmentAndFinanceLeaseRightOfUseAssetAfterAccumulatedDepreciationAndAmortization = 11310.5 mm
Unit conversion: raw USD to $mm
Sign: copied using model sign convention
Confidence: high
Value written: 11310.5
Notes: Grouped from EDGAR: Property, Plant, and Equipment and Finance Lease Right-of-Use Asset, after Accumulated Depreciation and Amortization.</t>
        </r>
      </text>
    </comment>
    <comment ref="L129" authorId="0">
      <text>
        <r>
          <rPr>
            <b/>
          </rPr>
          <t xml:space="preserve">EDGAR Mapper:
</t>
        </r>
        <r>
          <t xml:space="preserve">EDGAR mapping:
Source: 10-Q, accession #0001060391-24-000273, filed 2024-07-25
Period: 2Q24 / period ended 2024-06-30
Model row: Model!129 PP&amp;E, Net
Mapping type: grouped
Concepts used: PropertyPlantAndEquipmentAndFinanceLeaseRightOfUseAssetAfterAccumulatedDepreciationAndAmortization = 11446.5 mm
Unit conversion: raw USD to $mm
Sign: copied using model sign convention
Confidence: high
Value written: 11446.5
Notes: Grouped from EDGAR: Property, Plant, and Equipment and Finance Lease Right-of-Use Asset, after Accumulated Depreciation and Amortization.</t>
        </r>
      </text>
    </comment>
    <comment ref="M129" authorId="0">
      <text>
        <r>
          <rPr>
            <b/>
          </rPr>
          <t xml:space="preserve">EDGAR Mapper:
</t>
        </r>
        <r>
          <t xml:space="preserve">EDGAR mapping:
Source: 10-Q, accession #0001060391-24-000324, filed 2024-10-30
Period: 3Q24 / period ended 2024-09-30
Model row: Model!129 PP&amp;E, Net
Mapping type: grouped
Concepts used: PropertyPlantAndEquipmentAndFinanceLeaseRightOfUseAssetAfterAccumulatedDepreciationAndAmortization = 11525.6 mm
Unit conversion: raw USD to $mm
Sign: copied using model sign convention
Confidence: high
Value written: 11525.6
Notes: Grouped from EDGAR: Property, Plant, and Equipment and Finance Lease Right-of-Use Asset, after Accumulated Depreciation and Amortization.</t>
        </r>
      </text>
    </comment>
    <comment ref="N129" authorId="0">
      <text>
        <r>
          <rPr>
            <b/>
          </rPr>
          <t xml:space="preserve">EDGAR Mapper:
</t>
        </r>
        <r>
          <t xml:space="preserve">EDGAR mapping:
Source: 10-K, accession #0001060391-26-000094, filed 2026-02-18
Period: 4Q24 / period ended 2024-12-31
Model row: Model!129 PP&amp;E, Net
Mapping type: grouped
Concepts used: PropertyPlantAndEquipmentAndFinanceLeaseRightOfUseAssetAfterAccumulatedDepreciationAndAmortization = 11877 mm
Unit conversion: raw USD to $mm
Sign: copied using model sign convention
Confidence: high
Value written: 11877
Notes: Grouped from EDGAR: Property, Plant, and Equipment and Finance Lease Right-of-Use Asset, after Accumulated Depreciation and Amortization.</t>
        </r>
      </text>
    </comment>
    <comment ref="P129" authorId="0">
      <text>
        <r>
          <rPr>
            <b/>
          </rPr>
          <t xml:space="preserve">EDGAR Mapper:
</t>
        </r>
        <r>
          <t xml:space="preserve">EDGAR mapping:
Source: 10-Q, accession #0001060391-25-000170, filed 2025-04-25
Period: 1Q25 / period ended 2025-03-31
Model row: Model!129 PP&amp;E, Net
Mapping type: grouped
Concepts used: PropertyPlantAndEquipmentAndFinanceLeaseRightOfUseAssetAfterAccumulatedDepreciationAndAmortization = 11949 mm
Unit conversion: raw USD to $mm
Sign: copied using model sign convention
Confidence: high
Value written: 11949
Notes: Grouped from EDGAR: Property, Plant, and Equipment and Finance Lease Right-of-Use Asset, after Accumulated Depreciation and Amortization.</t>
        </r>
      </text>
    </comment>
    <comment ref="Q129" authorId="0">
      <text>
        <r>
          <rPr>
            <b/>
          </rPr>
          <t xml:space="preserve">EDGAR Mapper:
</t>
        </r>
        <r>
          <t xml:space="preserve">EDGAR mapping:
Source: 10-Q, accession #0001060391-25-000216, filed 2025-07-30
Period: 2Q25 / period ended 2025-06-30
Model row: Model!129 PP&amp;E, Net
Mapping type: grouped
Concepts used: PropertyPlantAndEquipmentAndFinanceLeaseRightOfUseAssetAfterAccumulatedDepreciationAndAmortization = 12049 mm
Unit conversion: raw USD to $mm
Sign: copied using model sign convention
Confidence: high
Value written: 12049
Notes: Grouped from EDGAR: Property, Plant, and Equipment and Finance Lease Right-of-Use Asset, after Accumulated Depreciation and Amortization.</t>
        </r>
      </text>
    </comment>
    <comment ref="R129" authorId="0">
      <text>
        <r>
          <rPr>
            <b/>
          </rPr>
          <t xml:space="preserve">EDGAR Mapper:
</t>
        </r>
        <r>
          <t xml:space="preserve">EDGAR mapping:
Source: 10-Q, accession #0001628280-25-047655, filed 2025-10-31
Period: 3Q25 / period ended 2025-09-30
Model row: Model!129 PP&amp;E, Net
Mapping type: grouped
Concepts used: PropertyPlantAndEquipmentAndFinanceLeaseRightOfUseAssetAfterAccumulatedDepreciationAndAmortization = 12192 mm
Unit conversion: raw USD to $mm
Sign: copied using model sign convention
Confidence: high
Value written: 12192
Notes: Grouped from EDGAR: Property, Plant, and Equipment and Finance Lease Right-of-Use Asset, after Accumulated Depreciation and Amortization.</t>
        </r>
      </text>
    </comment>
    <comment ref="S129" authorId="0">
      <text>
        <r>
          <rPr>
            <b/>
          </rPr>
          <t xml:space="preserve">EDGAR Mapper:
</t>
        </r>
        <r>
          <t xml:space="preserve">EDGAR mapping:
Source: 10-K, accession #0001060391-26-000094, filed 2026-02-18
Period: 4Q25 / period ended 2025-12-31
Model row: Model!129 PP&amp;E, Net
Mapping type: grouped
Concepts used: PropertyPlantAndEquipmentAndFinanceLeaseRightOfUseAssetAfterAccumulatedDepreciationAndAmortization = 12639 mm
Unit conversion: raw USD to $mm
Sign: copied using model sign convention
Confidence: high
Value written: 12639
Notes: Grouped from EDGAR: Property Plant and Equipment and Finance Lease Right of Use Asset After Accumulated Depreciation and Amortization.</t>
        </r>
      </text>
    </comment>
    <comment ref="C130" authorId="0">
      <text>
        <r>
          <rPr>
            <b/>
          </rPr>
          <t xml:space="preserve">EDGAR Mapper:
</t>
        </r>
        <r>
          <t>Grouped from EDGAR: Finite-Lived Intangible Assets, Net. Grouped from EDGAR: Finite Lived Intangible Assets net.</t>
        </r>
      </text>
    </comment>
    <comment ref="F130" authorId="0">
      <text>
        <r>
          <rPr>
            <b/>
          </rPr>
          <t xml:space="preserve">EDGAR Mapper:
</t>
        </r>
        <r>
          <t xml:space="preserve">EDGAR mapping:
Source: 10-Q, accession #0001060391-23-000013, filed 2023-04-28
Period: 1Q23 / period ended 2023-03-31
Model row: Model!130 Intangible Assets, Net
Mapping type: grouped
Concepts used: FiniteLivedIntangibleAssetsNet = 355.5 mm
Unit conversion: raw USD to $mm
Sign: copied using model sign convention
Confidence: high
Value written: 355.5
Notes: Grouped from EDGAR: Finite-Lived Intangible Assets, Net.</t>
        </r>
      </text>
    </comment>
    <comment ref="G130" authorId="0">
      <text>
        <r>
          <rPr>
            <b/>
          </rPr>
          <t xml:space="preserve">EDGAR Mapper:
</t>
        </r>
        <r>
          <t xml:space="preserve">EDGAR mapping:
Source: 10-Q, accession #0001060391-23-000019, filed 2023-08-01
Period: 2Q23 / period ended 2023-06-30
Model row: Model!130 Intangible Assets, Net
Mapping type: grouped
Concepts used: FiniteLivedIntangibleAssetsNet = 431.5 mm
Unit conversion: raw USD to $mm
Sign: copied using model sign convention
Confidence: high
Value written: 431.5
Notes: Grouped from EDGAR: Finite-Lived Intangible Assets, Net.</t>
        </r>
      </text>
    </comment>
    <comment ref="H130" authorId="0">
      <text>
        <r>
          <rPr>
            <b/>
          </rPr>
          <t xml:space="preserve">EDGAR Mapper:
</t>
        </r>
        <r>
          <t xml:space="preserve">EDGAR mapping:
Source: 10-Q, accession #0001060391-23-000025, filed 2023-10-27
Period: 3Q23 / period ended 2023-09-30
Model row: Model!130 Intangible Assets, Net
Mapping type: grouped
Concepts used: FiniteLivedIntangibleAssetsNet = 447.2 mm
Unit conversion: raw USD to $mm
Sign: copied using model sign convention
Confidence: high
Value written: 447.2
Notes: Grouped from EDGAR: Finite-Lived Intangible Assets, Net.</t>
        </r>
      </text>
    </comment>
    <comment ref="I130" authorId="0">
      <text>
        <r>
          <rPr>
            <b/>
          </rPr>
          <t xml:space="preserve">EDGAR Mapper:
</t>
        </r>
        <r>
          <t xml:space="preserve">EDGAR mapping:
Source: 10-K, accession #0001060391-25-000091, filed 2025-02-14
Period: 4Q23 / period ended 2023-12-31
Model row: Model!130 Intangible Assets, Net
Mapping type: grouped
Concepts used: FiniteLivedIntangibleAssetsNet = 496 mm
Unit conversion: raw USD to $mm
Sign: copied using model sign convention
Confidence: high
Value written: 496
Notes: Grouped from EDGAR: Finite-Lived Intangible Assets, Net.</t>
        </r>
      </text>
    </comment>
    <comment ref="K130" authorId="0">
      <text>
        <r>
          <rPr>
            <b/>
          </rPr>
          <t xml:space="preserve">EDGAR Mapper:
</t>
        </r>
        <r>
          <t xml:space="preserve">EDGAR mapping:
Source: 10-Q, accession #0001060391-24-000205, filed 2024-05-01
Period: 1Q24 / period ended 2024-03-31
Model row: Model!130 Intangible Assets, Net
Mapping type: grouped
Concepts used: FiniteLivedIntangibleAssetsNet = 482.6 mm
Unit conversion: raw USD to $mm
Sign: copied using model sign convention
Confidence: high
Value written: 482.6
Notes: Grouped from EDGAR: Finite-Lived Intangible Assets, Net.</t>
        </r>
      </text>
    </comment>
    <comment ref="L130" authorId="0">
      <text>
        <r>
          <rPr>
            <b/>
          </rPr>
          <t xml:space="preserve">EDGAR Mapper:
</t>
        </r>
        <r>
          <t xml:space="preserve">EDGAR mapping:
Source: 10-Q, accession #0001060391-24-000273, filed 2024-07-25
Period: 2Q24 / period ended 2024-06-30
Model row: Model!130 Intangible Assets, Net
Mapping type: grouped
Concepts used: FiniteLivedIntangibleAssetsNet = 463.4 mm
Unit conversion: raw USD to $mm
Sign: copied using model sign convention
Confidence: high
Value written: 463.4
Notes: Grouped from EDGAR: Finite-Lived Intangible Assets, Net.</t>
        </r>
      </text>
    </comment>
    <comment ref="M130" authorId="0">
      <text>
        <r>
          <rPr>
            <b/>
          </rPr>
          <t xml:space="preserve">EDGAR Mapper:
</t>
        </r>
        <r>
          <t xml:space="preserve">EDGAR mapping:
Source: 10-Q, accession #0001060391-24-000324, filed 2024-10-30
Period: 3Q24 / period ended 2024-09-30
Model row: Model!130 Intangible Assets, Net
Mapping type: grouped
Concepts used: FiniteLivedIntangibleAssetsNet = 454.8 mm
Unit conversion: raw USD to $mm
Sign: copied using model sign convention
Confidence: high
Value written: 454.8
Notes: Grouped from EDGAR: Finite-Lived Intangible Assets, Net.</t>
        </r>
      </text>
    </comment>
    <comment ref="N130" authorId="0">
      <text>
        <r>
          <rPr>
            <b/>
          </rPr>
          <t xml:space="preserve">EDGAR Mapper:
</t>
        </r>
        <r>
          <t xml:space="preserve">EDGAR mapping:
Source: 10-K, accession #0001060391-26-000094, filed 2026-02-18
Period: 4Q24 / period ended 2024-12-31
Model row: Model!130 Intangible Assets, Net
Mapping type: grouped
Concepts used: FiniteLivedIntangibleAssetsNet = 546 mm
Unit conversion: raw USD to $mm
Sign: copied using model sign convention
Confidence: high
Value written: 546
Notes: Grouped from EDGAR: Finite-Lived Intangible Assets, Net.</t>
        </r>
      </text>
    </comment>
    <comment ref="P130" authorId="0">
      <text>
        <r>
          <rPr>
            <b/>
          </rPr>
          <t xml:space="preserve">EDGAR Mapper:
</t>
        </r>
        <r>
          <t xml:space="preserve">EDGAR mapping:
Source: 10-Q, accession #0001060391-25-000170, filed 2025-04-25
Period: 1Q25 / period ended 2025-03-31
Model row: Model!130 Intangible Assets, Net
Mapping type: grouped
Concepts used: FiniteLivedIntangibleAssetsNet = 632 mm
Unit conversion: raw USD to $mm
Sign: copied using model sign convention
Confidence: high
Value written: 632
Notes: Grouped from EDGAR: Finite-Lived Intangible Assets, Net.</t>
        </r>
      </text>
    </comment>
    <comment ref="Q130" authorId="0">
      <text>
        <r>
          <rPr>
            <b/>
          </rPr>
          <t xml:space="preserve">EDGAR Mapper:
</t>
        </r>
        <r>
          <t xml:space="preserve">EDGAR mapping:
Source: 10-Q, accession #0001060391-25-000216, filed 2025-07-30
Period: 2Q25 / period ended 2025-06-30
Model row: Model!130 Intangible Assets, Net
Mapping type: grouped
Concepts used: FiniteLivedIntangibleAssetsNet = 612 mm
Unit conversion: raw USD to $mm
Sign: copied using model sign convention
Confidence: high
Value written: 612
Notes: Grouped from EDGAR: Finite-Lived Intangible Assets, Net.</t>
        </r>
      </text>
    </comment>
    <comment ref="R130" authorId="0">
      <text>
        <r>
          <rPr>
            <b/>
          </rPr>
          <t xml:space="preserve">EDGAR Mapper:
</t>
        </r>
        <r>
          <t xml:space="preserve">EDGAR mapping:
Source: 10-Q, accession #0001628280-25-047655, filed 2025-10-31
Period: 3Q25 / period ended 2025-09-30
Model row: Model!130 Intangible Assets, Net
Mapping type: grouped
Concepts used: FiniteLivedIntangibleAssetsNet = 599 mm
Unit conversion: raw USD to $mm
Sign: copied using model sign convention
Confidence: high
Value written: 599
Notes: Grouped from EDGAR: Finite-Lived Intangible Assets, Net.</t>
        </r>
      </text>
    </comment>
    <comment ref="S130" authorId="0">
      <text>
        <r>
          <rPr>
            <b/>
          </rPr>
          <t xml:space="preserve">EDGAR Mapper:
</t>
        </r>
        <r>
          <t xml:space="preserve">EDGAR mapping:
Source: 10-K, accession #0001060391-26-000094, filed 2026-02-18
Period: 4Q25 / period ended 2025-12-31
Model row: Model!130 Intangible Assets, Net
Mapping type: grouped
Concepts used: FiniteLivedIntangibleAssetsNet = 655 mm
Unit conversion: raw USD to $mm
Sign: copied using model sign convention
Confidence: high
Value written: 655
Notes: Grouped from EDGAR: Finite Lived Intangible Assets net.</t>
        </r>
      </text>
    </comment>
    <comment ref="F131" authorId="0">
      <text>
        <r>
          <rPr>
            <b/>
          </rPr>
          <t xml:space="preserve">EDGAR Mapper:
</t>
        </r>
        <r>
          <t xml:space="preserve">EDGAR mapping:
Source: 10-Q, accession #0001060391-23-000013, filed 2023-04-28
Period: 1Q23 / period ended 2023-03-31
Model row: Model!131 Goodwill
Mapping type: direct
Concepts used: Goodwill = 14622.2 mm
Unit conversion: raw USD to $mm
Sign: copied using model sign convention
Confidence: high
Value written: 14622.2</t>
        </r>
      </text>
    </comment>
    <comment ref="G131" authorId="0">
      <text>
        <r>
          <rPr>
            <b/>
          </rPr>
          <t xml:space="preserve">EDGAR Mapper:
</t>
        </r>
        <r>
          <t xml:space="preserve">EDGAR mapping:
Source: 10-Q, accession #0001060391-23-000019, filed 2023-08-01
Period: 2Q23 / period ended 2023-06-30
Model row: Model!131 Goodwill
Mapping type: direct
Concepts used: Goodwill = 15353.6 mm
Unit conversion: raw USD to $mm
Sign: copied using model sign convention
Confidence: high
Value written: 15353.6</t>
        </r>
      </text>
    </comment>
    <comment ref="H131" authorId="0">
      <text>
        <r>
          <rPr>
            <b/>
          </rPr>
          <t xml:space="preserve">EDGAR Mapper:
</t>
        </r>
        <r>
          <t xml:space="preserve">EDGAR mapping:
Source: 10-Q, accession #0001060391-23-000025, filed 2023-10-27
Period: 3Q23 / period ended 2023-09-30
Model row: Model!131 Goodwill
Mapping type: direct
Concepts used: Goodwill = 15290.7 mm
Unit conversion: raw USD to $mm
Sign: copied using model sign convention
Confidence: high
Value written: 15290.7</t>
        </r>
      </text>
    </comment>
    <comment ref="I131" authorId="0">
      <text>
        <r>
          <rPr>
            <b/>
          </rPr>
          <t xml:space="preserve">EDGAR Mapper:
</t>
        </r>
        <r>
          <t xml:space="preserve">EDGAR mapping:
Source: 10-K, accession #0001060391-26-000094, filed 2026-02-18
Period: 4Q23 / period ended 2023-12-31
Model row: Model!131 Goodwill
Mapping type: direct
Concepts used: Goodwill = 15834 mm
Unit conversion: raw USD to $mm
Sign: copied using model sign convention
Confidence: high
Value written: 15834</t>
        </r>
      </text>
    </comment>
    <comment ref="K131" authorId="0">
      <text>
        <r>
          <rPr>
            <b/>
          </rPr>
          <t xml:space="preserve">EDGAR Mapper:
</t>
        </r>
        <r>
          <t xml:space="preserve">EDGAR mapping:
Source: 10-Q, accession #0001060391-24-000205, filed 2024-05-01
Period: 1Q24 / period ended 2024-03-31
Model row: Model!131 Goodwill
Mapping type: direct
Concepts used: Goodwill = 15852.3 mm
Unit conversion: raw USD to $mm
Sign: copied using model sign convention
Confidence: high
Value written: 15852.3</t>
        </r>
      </text>
    </comment>
    <comment ref="L131" authorId="0">
      <text>
        <r>
          <rPr>
            <b/>
          </rPr>
          <t xml:space="preserve">EDGAR Mapper:
</t>
        </r>
        <r>
          <t xml:space="preserve">EDGAR mapping:
Source: 10-Q, accession #0001060391-24-000273, filed 2024-07-25
Period: 2Q24 / period ended 2024-06-30
Model row: Model!131 Goodwill
Mapping type: direct
Concepts used: Goodwill = 15864.9 mm
Unit conversion: raw USD to $mm
Sign: copied using model sign convention
Confidence: high
Value written: 15864.9</t>
        </r>
      </text>
    </comment>
    <comment ref="M131" authorId="0">
      <text>
        <r>
          <rPr>
            <b/>
          </rPr>
          <t xml:space="preserve">EDGAR Mapper:
</t>
        </r>
        <r>
          <t xml:space="preserve">EDGAR mapping:
Source: 10-Q, accession #0001060391-24-000324, filed 2024-10-30
Period: 3Q24 / period ended 2024-09-30
Model row: Model!131 Goodwill
Mapping type: direct
Concepts used: Goodwill = 15883.1 mm
Unit conversion: raw USD to $mm
Sign: copied using model sign convention
Confidence: high
Value written: 15883.1</t>
        </r>
      </text>
    </comment>
    <comment ref="N131" authorId="0">
      <text>
        <r>
          <rPr>
            <b/>
          </rPr>
          <t xml:space="preserve">EDGAR Mapper:
</t>
        </r>
        <r>
          <t xml:space="preserve">EDGAR mapping:
Source: 10-K, accession #0001060391-26-000094, filed 2026-02-18
Period: 4Q24 / period ended 2024-12-31
Model row: Model!131 Goodwill
Mapping type: direct
Concepts used: Goodwill = 15982 mm
Unit conversion: raw USD to $mm
Sign: copied using model sign convention
Confidence: high
Value written: 15982</t>
        </r>
      </text>
    </comment>
    <comment ref="P131" authorId="0">
      <text>
        <r>
          <rPr>
            <b/>
          </rPr>
          <t xml:space="preserve">EDGAR Mapper:
</t>
        </r>
        <r>
          <t xml:space="preserve">EDGAR mapping:
Source: 10-Q, accession #0001060391-25-000170, filed 2025-04-25
Period: 1Q25 / period ended 2025-03-31
Model row: Model!131 Goodwill
Mapping type: direct
Concepts used: Goodwill = 16585 mm
Unit conversion: raw USD to $mm
Sign: copied using model sign convention
Confidence: high
Value written: 16585</t>
        </r>
      </text>
    </comment>
    <comment ref="Q131" authorId="0">
      <text>
        <r>
          <rPr>
            <b/>
          </rPr>
          <t xml:space="preserve">EDGAR Mapper:
</t>
        </r>
        <r>
          <t xml:space="preserve">EDGAR mapping:
Source: 10-Q, accession #0001060391-25-000216, filed 2025-07-30
Period: 2Q25 / period ended 2025-06-30
Model row: Model!131 Goodwill
Mapping type: direct
Concepts used: Goodwill = 16626 mm
Unit conversion: raw USD to $mm
Sign: copied using model sign convention
Confidence: high
Value written: 16626</t>
        </r>
      </text>
    </comment>
    <comment ref="R131" authorId="0">
      <text>
        <r>
          <rPr>
            <b/>
          </rPr>
          <t xml:space="preserve">EDGAR Mapper:
</t>
        </r>
        <r>
          <t xml:space="preserve">EDGAR mapping:
Source: 10-Q, accession #0001628280-25-047655, filed 2025-10-31
Period: 3Q25 / period ended 2025-09-30
Model row: Model!131 Goodwill
Mapping type: direct
Concepts used: Goodwill = 16699 mm
Unit conversion: raw USD to $mm
Sign: copied using model sign convention
Confidence: high
Value written: 16699</t>
        </r>
      </text>
    </comment>
    <comment ref="S131" authorId="0">
      <text>
        <r>
          <rPr>
            <b/>
          </rPr>
          <t xml:space="preserve">EDGAR Mapper:
</t>
        </r>
        <r>
          <t xml:space="preserve">EDGAR mapping:
Source: 10-K, accession #0001060391-26-000094, filed 2026-02-18
Period: 4Q25 / period ended 2025-12-31
Model row: Model!131 Goodwill
Mapping type: direct
Concepts used: Goodwill = 16715 mm
Unit conversion: raw USD to $mm
Sign: copied using model sign convention
Confidence: high
Value written: 16715</t>
        </r>
      </text>
    </comment>
    <comment ref="C132"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F132" authorId="0">
      <text>
        <r>
          <rPr>
            <b/>
          </rPr>
          <t xml:space="preserve">EDGAR Mapper:
</t>
        </r>
        <r>
          <t xml:space="preserve">======
ID#AAABbnJBVzw
Lilianna Ruby    (2025-01-14 21:09:38)
operating lease right of use assets, long term investments, deferred income taxes, other assets
EDGAR Mapper:
EDGAR mapping:
Source: 10-Q, accession #0001060391-24-000205, filed 2024-05-01
Period: 1Q23 / period ended 2023-03-31
Model row: Model!132 Other Non-Current Assets
Mapping type: grouped
Concepts used: Assets = 29081.4 mm; CashAndCashEquivalentsAtCarryingValue = 132.2 mm; AccountsReceivableNetCurrent = 1686.4 mm; InventoryNet = 97.9 mm; AssetsCurrent = 2241.4 mm; CashAndCashEquivalentsAtCarryingValue = 132.2 mm; AccountsReceivableNetCurrent = 1686.4 mm; InventoryNet = 97.9 mm; PropertyPlantAndEquipmentAndFinanceLeaseRightOfUseAssetAfterAccumulatedDepreciationAndAmortization = 10658.6 mm; FiniteLivedIntangibleAssetsNet = 355.5 mm; Goodwill = 14622.2 mm
Unit conversion: raw USD to $mm
Sign: copied using model sign convention
Confidence: high
Value written: 1203.7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G132" authorId="0">
      <text>
        <r>
          <rPr>
            <b/>
          </rPr>
          <t xml:space="preserve">EDGAR Mapper:
</t>
        </r>
        <r>
          <t xml:space="preserve">EDGAR mapping:
Source: 10-Q, accession #0001060391-24-000273, filed 2024-07-25
Period: 2Q23 / period ended 2023-06-30
Model row: Model!132 Other Non-Current Assets
Mapping type: grouped
Concepts used: Assets = 29823.3 mm; CashAndCashEquivalentsAtCarryingValue = 181.6 mm; AccountsReceivableNetCurrent = 1740 mm; InventoryNet = 96.1 mm; AssetsCurrent = 2261.7 mm; CashAndCashEquivalentsAtCarryingValue = 181.6 mm; AccountsReceivableNetCurrent = 1740 mm; InventoryNet = 96.1 mm; PropertyPlantAndEquipmentAndFinanceLeaseRightOfUseAssetAfterAccumulatedDepreciationAndAmortization = 10561.7 mm; FiniteLivedIntangibleAssetsNet = 431.5 mm; Goodwill = 15353.6 mm
Unit conversion: raw USD to $mm
Sign: copied using model sign convention
Confidence: high
Value written: 1214.8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H132" authorId="0">
      <text>
        <r>
          <rPr>
            <b/>
          </rPr>
          <t xml:space="preserve">EDGAR Mapper:
</t>
        </r>
        <r>
          <t xml:space="preserve">EDGAR mapping:
Source: 10-Q, accession #0001060391-24-000324, filed 2024-10-30
Period: 3Q23 / period ended 2023-09-30
Model row: Model!132 Other Non-Current Assets
Mapping type: grouped
Concepts used: Assets = 30042.8 mm; CashAndCashEquivalentsAtCarryingValue = 157.5 mm; AccountsReceivableNetCurrent = 1829.7 mm; InventoryNet = 100 mm; AssetsCurrent = 2348.4 mm; CashAndCashEquivalentsAtCarryingValue = 157.5 mm; AccountsReceivableNetCurrent = 1829.7 mm; InventoryNet = 100 mm; PropertyPlantAndEquipmentAndFinanceLeaseRightOfUseAssetAfterAccumulatedDepreciationAndAmortization = 10701.4 mm; FiniteLivedIntangibleAssetsNet = 447.2 mm; Goodwill = 15290.7 mm
Unit conversion: raw USD to $mm
Sign: copied using model sign convention
Confidence: high
Value written: 1255.1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I132" authorId="0">
      <text>
        <r>
          <rPr>
            <b/>
          </rPr>
          <t xml:space="preserve">EDGAR Mapper:
</t>
        </r>
        <r>
          <t xml:space="preserve">EDGAR mapping:
Source: 10-K, accession #0001060391-26-000094, filed 2026-02-18
Period: 4Q23 / period ended 2023-12-31
Model row: Model!132 Other Non-Current Assets
Mapping type: grouped
Concepts used: Assets = 31410 mm; CashAndCashEquivalentsAtCarryingValue = 140 mm; AccountsReceivableNetCurrent = 1768 mm; InventoryNet = 98 mm; AssetsCurrent = 2381 mm; CashAndCashEquivalentsAtCarryingValue = 140 mm; AccountsReceivableNetCurrent = 1768 mm; InventoryNet = 98 mm; PropertyPlantAndEquipmentAndFinanceLeaseRightOfUseAssetAfterAccumulatedDepreciationAndAmortization = 11351 mm; FiniteLivedIntangibleAssetsNet = 496 mm; Goodwill = 15834 mm
Unit conversion: raw USD to $mm
Sign: copied using model sign convention
Confidence: high
Value written: 1348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K132" authorId="0">
      <text>
        <r>
          <rPr>
            <b/>
          </rPr>
          <t xml:space="preserve">EDGAR Mapper:
</t>
        </r>
        <r>
          <t xml:space="preserve">======
ID#AAABbnJBVzw
Lilianna Ruby    (2025-01-14 21:09:38)
operating lease right of use assets, long term investments, deferred income taxes, other assets
EDGAR Mapper:
EDGAR mapping:
Source: 10-Q, accession #0001060391-25-000170, filed 2025-04-25
Period: 1Q24 / period ended 2024-03-31
Model row: Model!132 Other Non-Current Assets
Mapping type: grouped
Concepts used: Assets = 31382 mm; CashAndCashEquivalentsAtCarryingValue = 92 mm; AccountsReceivableNetCurrent = 1763 mm; InventoryNet = 101.4 mm; AssetsCurrent = 2273.6 mm; CashAndCashEquivalentsAtCarryingValue = 92 mm; AccountsReceivableNetCurrent = 1763 mm; InventoryNet = 101.4 mm; PropertyPlantAndEquipmentAndFinanceLeaseRightOfUseAssetAfterAccumulatedDepreciationAndAmortization = 11310.5 mm; FiniteLivedIntangibleAssetsNet = 482.6 mm; Goodwill = 15852.3 mm
Unit conversion: raw USD to $mm
Sign: copied using model sign convention
Confidence: high
Value written: 1463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L132" authorId="0">
      <text>
        <r>
          <rPr>
            <b/>
          </rPr>
          <t xml:space="preserve">EDGAR Mapper:
</t>
        </r>
        <r>
          <t xml:space="preserve">EDGAR mapping:
Source: 10-Q, accession #0001060391-25-000216, filed 2025-07-30
Period: 2Q24 / period ended 2024-06-30
Model row: Model!132 Other Non-Current Assets
Mapping type: grouped
Concepts used: Assets = 31934 mm; CashAndCashEquivalentsAtCarryingValue = 491 mm; AccountsReceivableNetCurrent = 1817.8 mm; InventoryNet = 99.9 mm; AssetsCurrent = 2659.7 mm; CashAndCashEquivalentsAtCarryingValue = 491 mm; AccountsReceivableNetCurrent = 1817.8 mm; InventoryNet = 99.9 mm; PropertyPlantAndEquipmentAndFinanceLeaseRightOfUseAssetAfterAccumulatedDepreciationAndAmortization = 11446.5 mm; FiniteLivedIntangibleAssetsNet = 463.4 mm; Goodwill = 15864.9 mm
Unit conversion: raw USD to $mm
Sign: copied using model sign convention
Confidence: high
Value written: 1499.5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M132" authorId="0">
      <text>
        <r>
          <rPr>
            <b/>
          </rPr>
          <t xml:space="preserve">EDGAR Mapper:
</t>
        </r>
        <r>
          <t xml:space="preserve">EDGAR mapping:
Source: 10-Q, accession #0001628280-25-047655, filed 2025-10-31
Period: 3Q24 / period ended 2024-09-30
Model row: Model!132 Other Non-Current Assets
Mapping type: grouped
Concepts used: Assets = 31814 mm; CashAndCashEquivalentsAtCarryingValue = 83 mm; AccountsReceivableNetCurrent = 1847.5 mm; InventoryNet = 97.7 mm; AssetsCurrent = 2348.4 mm; CashAndCashEquivalentsAtCarryingValue = 83 mm; AccountsReceivableNetCurrent = 1847.5 mm; InventoryNet = 97.7 mm; PropertyPlantAndEquipmentAndFinanceLeaseRightOfUseAssetAfterAccumulatedDepreciationAndAmortization = 11525.6 mm; FiniteLivedIntangibleAssetsNet = 454.8 mm; Goodwill = 15883.1 mm
Unit conversion: raw USD to $mm
Sign: copied using model sign convention
Confidence: high
Value written: 1602.1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N132" authorId="0">
      <text>
        <r>
          <rPr>
            <b/>
          </rPr>
          <t xml:space="preserve">EDGAR Mapper:
</t>
        </r>
        <r>
          <t xml:space="preserve">EDGAR mapping:
Source: 10-K, accession #0001060391-26-000094, filed 2026-02-18
Period: 4Q24 / period ended 2024-12-31
Model row: Model!132 Other Non-Current Assets
Mapping type: grouped
Concepts used: Assets = 32402 mm; CashAndCashEquivalentsAtCarryingValue = 74 mm; AccountsReceivableNetCurrent = 1821 mm; InventoryNet = 98 mm; AssetsCurrent = 2406 mm; CashAndCashEquivalentsAtCarryingValue = 74 mm; AccountsReceivableNetCurrent = 1821 mm; InventoryNet = 98 mm; PropertyPlantAndEquipmentAndFinanceLeaseRightOfUseAssetAfterAccumulatedDepreciationAndAmortization = 11877 mm; FiniteLivedIntangibleAssetsNet = 546 mm; Goodwill = 15982 mm
Unit conversion: raw USD to $mm
Sign: copied using model sign convention
Confidence: high
Value written: 1591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P132" authorId="0">
      <text>
        <r>
          <rPr>
            <b/>
          </rPr>
          <t xml:space="preserve">EDGAR Mapper:
</t>
        </r>
        <r>
          <t xml:space="preserve">======
ID#AAABbnJBVxY
Lilianna Ruby    (2025-01-14 21:09:38)
operating lease right of use assets, long term investments, deferred income taxes, other assets
EDGAR Mapper:
EDGAR mapping:
Source: 10-Q, accession #0001060391-26-000212, filed 2026-05-08
Period: 1Q25 / period ended 2025-03-31
Model row: Model!132 Other Non-Current Assets
Mapping type: grouped
Concepts used: Assets = 33103 mm; CashAndCashEquivalentsAtCarryingValue = 83 mm; AccountsReceivableNetCurrent = 1854 mm; InventoryNet = 102 mm; AssetsCurrent = 2321 mm; CashAndCashEquivalentsAtCarryingValue = 83 mm; AccountsReceivableNetCurrent = 1854 mm; InventoryNet = 102 mm; PropertyPlantAndEquipmentAndFinanceLeaseRightOfUseAssetAfterAccumulatedDepreciationAndAmortization = 11949 mm; FiniteLivedIntangibleAssetsNet = 632 mm; Goodwill = 16585 mm
Unit conversion: raw USD to $mm
Sign: copied using model sign convention
Confidence: high
Value written: 1616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Q132" authorId="0">
      <text>
        <r>
          <rPr>
            <b/>
          </rPr>
          <t xml:space="preserve">EDGAR Mapper:
</t>
        </r>
        <r>
          <t xml:space="preserve">EDGAR mapping:
Source: 10-Q, accession #0001060391-25-000216, filed 2025-07-30
Period: 2Q25 / period ended 2025-06-30
Model row: Model!132 Other Non-Current Assets
Mapping type: grouped
Concepts used: Assets = 33397 mm; CashAndCashEquivalentsAtCarryingValue = 122 mm; AccountsReceivableNetCurrent = 1880 mm; InventoryNet = 104 mm; AssetsCurrent = 2416 mm; CashAndCashEquivalentsAtCarryingValue = 122 mm; AccountsReceivableNetCurrent = 1880 mm; InventoryNet = 104 mm; PropertyPlantAndEquipmentAndFinanceLeaseRightOfUseAssetAfterAccumulatedDepreciationAndAmortization = 12049 mm; FiniteLivedIntangibleAssetsNet = 612 mm; Goodwill = 16626 mm
Unit conversion: raw USD to $mm
Sign: copied using model sign convention
Confidence: high
Value written: 1694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R132" authorId="0">
      <text>
        <r>
          <rPr>
            <b/>
          </rPr>
          <t xml:space="preserve">EDGAR Mapper:
</t>
        </r>
        <r>
          <t xml:space="preserve">EDGAR mapping:
Source: 10-Q, accession #0001628280-25-047655, filed 2025-10-31
Period: 3Q25 / period ended 2025-09-30
Model row: Model!132 Other Non-Current Assets
Mapping type: grouped
Concepts used: Assets = 33789 mm; CashAndCashEquivalentsAtCarryingValue = 84 mm; AccountsReceivableNetCurrent = 1900 mm; InventoryNet = 103 mm; AssetsCurrent = 2484 mm; CashAndCashEquivalentsAtCarryingValue = 84 mm; AccountsReceivableNetCurrent = 1900 mm; InventoryNet = 103 mm; PropertyPlantAndEquipmentAndFinanceLeaseRightOfUseAssetAfterAccumulatedDepreciationAndAmortization = 12192 mm; FiniteLivedIntangibleAssetsNet = 599 mm; Goodwill = 16699 mm
Unit conversion: raw USD to $mm
Sign: copied using model sign convention
Confidence: high
Value written: 1815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S132" authorId="0">
      <text>
        <r>
          <rPr>
            <b/>
          </rPr>
          <t xml:space="preserve">EDGAR Mapper:
</t>
        </r>
        <r>
          <t xml:space="preserve">EDGAR mapping:
Source: 10-K, accession #0001060391-26-000094, filed 2026-02-18
Period: 4Q25 / period ended 2025-12-31
Model row: Model!132 Other Non-Current Assets
Mapping type: grouped
Concepts used: Assets = 34366 mm; CashAndCashEquivalentsAtCarryingValue = 76 mm; AccountsReceivableNetCurrent = 1897 mm; InventoryNet = 106 mm; AssetsCurrent = 2523 mm; CashAndCashEquivalentsAtCarryingValue = 76 mm; AccountsReceivableNetCurrent = 1897 mm; InventoryNet = 106 mm; PropertyPlantAndEquipmentAndFinanceLeaseRightOfUseAssetAfterAccumulatedDepreciationAndAmortization = 12639 mm; FiniteLivedIntangibleAssetsNet = 655 mm; Goodwill = 16715 mm
Unit conversion: raw USD to $mm
Sign: copied using model sign convention
Confidence: high
Value written: 1834
Notes: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U132" authorId="0">
      <text>
        <r>
          <rPr>
            <color theme="1"/>
            <family val="2"/>
            <scheme val="minor"/>
            <sz val="11"/>
            <rFont val="Calibri"/>
          </rPr>
          <t xml:space="preserve">======
ID#AAABbnJBVy4
Lilianna Ruby    (2025-01-14 21:09:38)
Includes operating lease right-of-use assets, long-term investments, deferred income taxes, and other</t>
        </r>
      </text>
    </comment>
    <comment ref="C137" authorId="0">
      <text>
        <r>
          <rPr>
            <b/>
          </rPr>
          <t xml:space="preserve">EDGAR Mapper:
</t>
        </r>
        <r>
          <t xml:space="preserve">yash chinn:
accounts 
EDGAR Mapper:
Grouped from EDGAR: Accounts Payable, Current. Grouped from EDGAR: Accounts Payable Current.</t>
        </r>
      </text>
    </comment>
    <comment ref="F137" authorId="0">
      <text>
        <r>
          <rPr>
            <b/>
          </rPr>
          <t xml:space="preserve">EDGAR Mapper:
</t>
        </r>
        <r>
          <t xml:space="preserve">EDGAR mapping:
Source: 10-Q, accession #0001060391-23-000013, filed 2023-04-28
Period: 1Q23 / period ended 2023-03-31
Model row: Model!137 Accounts Payable
Mapping type: grouped
Concepts used: AccountsPayableCurrent = 984.2 mm
Unit conversion: raw USD to $mm
Sign: copied using model sign convention
Confidence: high
Value written: 984.2
Notes: Grouped from EDGAR: Accounts Payable, Current.</t>
        </r>
      </text>
    </comment>
    <comment ref="G137" authorId="0">
      <text>
        <r>
          <rPr>
            <b/>
          </rPr>
          <t xml:space="preserve">EDGAR Mapper:
</t>
        </r>
        <r>
          <t xml:space="preserve">EDGAR mapping:
Source: 10-Q, accession #0001060391-23-000019, filed 2023-08-01
Period: 2Q23 / period ended 2023-06-30
Model row: Model!137 Accounts Payable
Mapping type: grouped
Concepts used: AccountsPayableCurrent = 1098.4 mm
Unit conversion: raw USD to $mm
Sign: copied using model sign convention
Confidence: high
Value written: 1098.4
Notes: Grouped from EDGAR: Accounts Payable, Current.</t>
        </r>
      </text>
    </comment>
    <comment ref="H137" authorId="0">
      <text>
        <r>
          <rPr>
            <b/>
          </rPr>
          <t xml:space="preserve">EDGAR Mapper:
</t>
        </r>
        <r>
          <t xml:space="preserve">EDGAR mapping:
Source: 10-Q, accession #0001060391-23-000025, filed 2023-10-27
Period: 3Q23 / period ended 2023-09-30
Model row: Model!137 Accounts Payable
Mapping type: grouped
Concepts used: AccountsPayableCurrent = 1198.2 mm
Unit conversion: raw USD to $mm
Sign: copied using model sign convention
Confidence: high
Value written: 1198.2
Notes: Grouped from EDGAR: Accounts Payable, Current.</t>
        </r>
      </text>
    </comment>
    <comment ref="I137" authorId="0">
      <text>
        <r>
          <rPr>
            <b/>
          </rPr>
          <t xml:space="preserve">EDGAR Mapper:
</t>
        </r>
        <r>
          <t xml:space="preserve">EDGAR mapping:
Source: 10-K, accession #0001060391-25-000091, filed 2025-02-14
Period: 4Q23 / period ended 2023-12-31
Model row: Model!137 Accounts Payable
Mapping type: grouped
Concepts used: AccountsPayableCurrent = 1412 mm
Unit conversion: raw USD to $mm
Sign: copied using model sign convention
Confidence: high
Value written: 1412
Notes: Grouped from EDGAR: Accounts Payable, Current.</t>
        </r>
      </text>
    </comment>
    <comment ref="K137" authorId="0">
      <text>
        <r>
          <rPr>
            <b/>
          </rPr>
          <t xml:space="preserve">EDGAR Mapper:
</t>
        </r>
        <r>
          <t xml:space="preserve">EDGAR mapping:
Source: 10-Q, accession #0001060391-24-000205, filed 2024-05-01
Period: 1Q24 / period ended 2024-03-31
Model row: Model!137 Accounts Payable
Mapping type: grouped
Concepts used: AccountsPayableCurrent = 1179.2 mm
Unit conversion: raw USD to $mm
Sign: copied using model sign convention
Confidence: high
Value written: 1179.2
Notes: Grouped from EDGAR: Accounts Payable, Current.</t>
        </r>
      </text>
    </comment>
    <comment ref="L137" authorId="0">
      <text>
        <r>
          <rPr>
            <b/>
          </rPr>
          <t xml:space="preserve">EDGAR Mapper:
</t>
        </r>
        <r>
          <t xml:space="preserve">EDGAR mapping:
Source: 10-Q, accession #0001060391-24-000273, filed 2024-07-25
Period: 2Q24 / period ended 2024-06-30
Model row: Model!137 Accounts Payable
Mapping type: grouped
Concepts used: AccountsPayableCurrent = 1285.5 mm
Unit conversion: raw USD to $mm
Sign: copied using model sign convention
Confidence: high
Value written: 1285.5
Notes: Grouped from EDGAR: Accounts Payable, Current.</t>
        </r>
      </text>
    </comment>
    <comment ref="M137" authorId="0">
      <text>
        <r>
          <rPr>
            <b/>
          </rPr>
          <t xml:space="preserve">EDGAR Mapper:
</t>
        </r>
        <r>
          <t xml:space="preserve">EDGAR mapping:
Source: 10-Q, accession #0001060391-24-000324, filed 2024-10-30
Period: 3Q24 / period ended 2024-09-30
Model row: Model!137 Accounts Payable
Mapping type: grouped
Concepts used: AccountsPayableCurrent = 1225.4 mm
Unit conversion: raw USD to $mm
Sign: copied using model sign convention
Confidence: high
Value written: 1225.4
Notes: Grouped from EDGAR: Accounts Payable, Current.</t>
        </r>
      </text>
    </comment>
    <comment ref="N137" authorId="0">
      <text>
        <r>
          <rPr>
            <b/>
          </rPr>
          <t xml:space="preserve">EDGAR Mapper:
</t>
        </r>
        <r>
          <t xml:space="preserve">EDGAR mapping:
Source: 10-K, accession #0001060391-26-000094, filed 2026-02-18
Period: 4Q24 / period ended 2024-12-31
Model row: Model!137 Accounts Payable
Mapping type: grouped
Concepts used: AccountsPayableCurrent = 1345 mm
Unit conversion: raw USD to $mm
Sign: copied using model sign convention
Confidence: high
Value written: 1345
Notes: Grouped from EDGAR: Accounts Payable, Current.</t>
        </r>
      </text>
    </comment>
    <comment ref="P137" authorId="0">
      <text>
        <r>
          <rPr>
            <b/>
          </rPr>
          <t xml:space="preserve">EDGAR Mapper:
</t>
        </r>
        <r>
          <t xml:space="preserve">EDGAR mapping:
Source: 10-Q, accession #0001060391-25-000170, filed 2025-04-25
Period: 1Q25 / period ended 2025-03-31
Model row: Model!137 Accounts Payable
Mapping type: grouped
Concepts used: AccountsPayableCurrent = 1154 mm
Unit conversion: raw USD to $mm
Sign: copied using model sign convention
Confidence: high
Value written: 1154
Notes: Grouped from EDGAR: Accounts Payable, Current.</t>
        </r>
      </text>
    </comment>
    <comment ref="Q137" authorId="0">
      <text>
        <r>
          <rPr>
            <b/>
          </rPr>
          <t xml:space="preserve">EDGAR Mapper:
</t>
        </r>
        <r>
          <t xml:space="preserve">EDGAR mapping:
Source: 10-Q, accession #0001060391-25-000216, filed 2025-07-30
Period: 2Q25 / period ended 2025-06-30
Model row: Model!137 Accounts Payable
Mapping type: grouped
Concepts used: AccountsPayableCurrent = 1199 mm
Unit conversion: raw USD to $mm
Sign: copied using model sign convention
Confidence: high
Value written: 1199
Notes: Grouped from EDGAR: Accounts Payable, Current.</t>
        </r>
      </text>
    </comment>
    <comment ref="R137" authorId="0">
      <text>
        <r>
          <rPr>
            <b/>
          </rPr>
          <t xml:space="preserve">EDGAR Mapper:
</t>
        </r>
        <r>
          <t xml:space="preserve">EDGAR mapping:
Source: 10-Q, accession #0001628280-25-047655, filed 2025-10-31
Period: 3Q25 / period ended 2025-09-30
Model row: Model!137 Accounts Payable
Mapping type: grouped
Concepts used: AccountsPayableCurrent = 1247 mm
Unit conversion: raw USD to $mm
Sign: copied using model sign convention
Confidence: high
Value written: 1247
Notes: Grouped from EDGAR: Accounts Payable, Current.</t>
        </r>
      </text>
    </comment>
    <comment ref="S137" authorId="0">
      <text>
        <r>
          <rPr>
            <b/>
          </rPr>
          <t xml:space="preserve">EDGAR Mapper:
</t>
        </r>
        <r>
          <t xml:space="preserve">EDGAR mapping:
Source: 10-K, accession #0001060391-26-000094, filed 2026-02-18
Period: 4Q25 / period ended 2025-12-31
Model row: Model!137 Accounts Payable
Mapping type: grouped
Concepts used: AccountsPayableCurrent = 1374 mm
Unit conversion: raw USD to $mm
Sign: copied using model sign convention
Confidence: high
Value written: 1374
Notes: Grouped from EDGAR: Accounts Payable Current.</t>
        </r>
      </text>
    </comment>
    <comment ref="F138" authorId="0">
      <text>
        <r>
          <rPr>
            <b/>
          </rPr>
          <t xml:space="preserve">EDGAR Mapper:
</t>
        </r>
        <r>
          <t xml:space="preserve">EDGAR mapping:
Source: 10-Q, accession #0001060391-23-000013, filed 2023-04-28
Period: 1Q23 / period ended 2023-03-31
Model row: Model!138 Accrued Liabilities
Mapping type: direct
Concepts used: EmployeeRelatedLiabilitiesCurrent = 212.2 mm
Unit conversion: raw USD to $mm
Sign: copied using model sign convention
Confidence: high
Value written: 212.2</t>
        </r>
      </text>
    </comment>
    <comment ref="G138" authorId="0">
      <text>
        <r>
          <rPr>
            <b/>
          </rPr>
          <t xml:space="preserve">EDGAR Mapper:
</t>
        </r>
        <r>
          <t xml:space="preserve">EDGAR mapping:
Source: 10-Q, accession #0001060391-23-000019, filed 2023-08-01
Period: 2Q23 / period ended 2023-06-30
Model row: Model!138 Accrued Liabilities
Mapping type: direct
Concepts used: EmployeeRelatedLiabilitiesCurrent = 264.8 mm
Unit conversion: raw USD to $mm
Sign: copied using model sign convention
Confidence: high
Value written: 264.8</t>
        </r>
      </text>
    </comment>
    <comment ref="H138" authorId="0">
      <text>
        <r>
          <rPr>
            <b/>
          </rPr>
          <t xml:space="preserve">EDGAR Mapper:
</t>
        </r>
        <r>
          <t xml:space="preserve">EDGAR mapping:
Source: 10-Q, accession #0001060391-23-000025, filed 2023-10-27
Period: 3Q23 / period ended 2023-09-30
Model row: Model!138 Accrued Liabilities
Mapping type: direct
Concepts used: AccruedIncomeTaxesCurrent = 97.9 mm
Unit conversion: raw USD to $mm
Sign: copied using model sign convention
Confidence: high
Value written: 97.9</t>
        </r>
      </text>
    </comment>
    <comment ref="I138" authorId="0">
      <text>
        <r>
          <rPr>
            <b/>
          </rPr>
          <t xml:space="preserve">EDGAR Mapper:
</t>
        </r>
        <r>
          <t xml:space="preserve">EDGAR mapping:
Source: 10-Q, accession #0001060391-24-000324, filed 2024-10-30
Period: 4Q23 / period ended 2023-12-31
Model row: Model!138 Accrued Liabilities
Mapping type: direct
Concepts used: AccruedIncomeTaxesCurrent = 2.1 mm
Unit conversion: raw USD to $mm
Sign: copied using model sign convention
Confidence: high
Value written: 2.1</t>
        </r>
      </text>
    </comment>
    <comment ref="K138" authorId="0">
      <text>
        <r>
          <rPr>
            <b/>
          </rPr>
          <t xml:space="preserve">EDGAR Mapper:
</t>
        </r>
        <r>
          <t xml:space="preserve">EDGAR mapping:
Source: 10-Q, accession #0001060391-24-000205, filed 2024-05-01
Period: 1Q24 / period ended 2024-03-31
Model row: Model!138 Accrued Liabilities
Mapping type: direct
Concepts used: EmployeeRelatedLiabilitiesCurrent = 225.5 mm
Unit conversion: raw USD to $mm
Sign: copied using model sign convention
Confidence: high
Value written: 225.5</t>
        </r>
      </text>
    </comment>
    <comment ref="L138" authorId="0">
      <text>
        <r>
          <rPr>
            <b/>
          </rPr>
          <t xml:space="preserve">EDGAR Mapper:
</t>
        </r>
        <r>
          <t xml:space="preserve">EDGAR mapping:
Source: 10-Q, accession #0001060391-24-000273, filed 2024-07-25
Period: 2Q24 / period ended 2024-06-30
Model row: Model!138 Accrued Liabilities
Mapping type: direct
Concepts used: AccruedIncomeTaxesCurrent = 41.8 mm
Unit conversion: raw USD to $mm
Sign: copied using model sign convention
Confidence: high
Value written: 41.8</t>
        </r>
      </text>
    </comment>
    <comment ref="M138" authorId="0">
      <text>
        <r>
          <rPr>
            <b/>
          </rPr>
          <t xml:space="preserve">EDGAR Mapper:
</t>
        </r>
        <r>
          <t xml:space="preserve">EDGAR mapping:
Source: 10-Q, accession #0001060391-24-000324, filed 2024-10-30
Period: 3Q24 / period ended 2024-09-30
Model row: Model!138 Accrued Liabilities
Mapping type: direct
Concepts used: AccruedIncomeTaxesCurrent = 23.2 mm
Unit conversion: raw USD to $mm
Sign: copied using model sign convention
Confidence: high
Value written: 23.2</t>
        </r>
      </text>
    </comment>
    <comment ref="N138" authorId="0">
      <text>
        <r>
          <rPr>
            <b/>
          </rPr>
          <t xml:space="preserve">EDGAR Mapper:
</t>
        </r>
        <r>
          <t xml:space="preserve">EDGAR mapping:
Source: 10-K, accession #0001060391-26-000094, filed 2026-02-18
Period: 4Q24 / period ended 2024-12-31
Model row: Model!138 Accrued Liabilities
Mapping type: direct
Concepts used: EmployeeRelatedLiabilitiesCurrent = 339 mm
Unit conversion: raw USD to $mm
Sign: copied using model sign convention
Confidence: high
Value written: 339</t>
        </r>
      </text>
    </comment>
    <comment ref="P138" authorId="0">
      <text>
        <r>
          <rPr>
            <b/>
          </rPr>
          <t xml:space="preserve">EDGAR Mapper:
</t>
        </r>
        <r>
          <t xml:space="preserve">EDGAR mapping:
Source: 10-Q, accession #0001060391-25-000170, filed 2025-04-25
Period: 1Q25 / period ended 2025-03-31
Model row: Model!138 Accrued Liabilities
Mapping type: direct
Concepts used: EmployeeRelatedLiabilitiesCurrent = 252 mm
Unit conversion: raw USD to $mm
Sign: copied using model sign convention
Confidence: high
Value written: 252</t>
        </r>
      </text>
    </comment>
    <comment ref="Q138" authorId="0">
      <text>
        <r>
          <rPr>
            <b/>
          </rPr>
          <t xml:space="preserve">EDGAR Mapper:
</t>
        </r>
        <r>
          <t xml:space="preserve">EDGAR mapping:
Source: 10-Q, accession #0001060391-25-000216, filed 2025-07-30
Period: 2Q25 / period ended 2025-06-30
Model row: Model!138 Accrued Liabilities
Mapping type: direct
Concepts used: EmployeeRelatedLiabilitiesCurrent = 298 mm
Unit conversion: raw USD to $mm
Sign: copied using model sign convention
Confidence: high
Value written: 298</t>
        </r>
      </text>
    </comment>
    <comment ref="R138" authorId="0">
      <text>
        <r>
          <rPr>
            <b/>
          </rPr>
          <t xml:space="preserve">EDGAR Mapper:
</t>
        </r>
        <r>
          <t xml:space="preserve">EDGAR mapping:
Source: 10-Q, accession #0001628280-25-047655, filed 2025-10-31
Period: 3Q25 / period ended 2025-09-30
Model row: Model!138 Accrued Liabilities
Mapping type: direct
Concepts used: EmployeeRelatedLiabilitiesCurrent = 334 mm
Unit conversion: raw USD to $mm
Sign: copied using model sign convention
Confidence: high
Value written: 334</t>
        </r>
      </text>
    </comment>
    <comment ref="S138" authorId="0">
      <text>
        <r>
          <rPr>
            <b/>
          </rPr>
          <t xml:space="preserve">EDGAR Mapper:
</t>
        </r>
        <r>
          <t xml:space="preserve">EDGAR mapping:
Source: 10-K, accession #0001060391-26-000094, filed 2026-02-18
Period: 4Q25 / period ended 2025-12-31
Model row: Model!138 Accrued Liabilities
Mapping type: direct
Concepts used: EmployeeRelatedLiabilitiesCurrent = 313 mm
Unit conversion: raw USD to $mm
Sign: copied using model sign convention
Confidence: high
Value written: 313</t>
        </r>
      </text>
    </comment>
    <comment ref="C139" authorId="0">
      <text>
        <r>
          <rPr>
            <b/>
          </rPr>
          <t xml:space="preserve">EDGAR Mapper:
</t>
        </r>
        <r>
          <t xml:space="preserve">======
ID#AAABbnJBV0M
Luke Brennan    (2025-01-14 21:09:38)
Advances and Billings in Excess of Related Costs
EDGAR Mapper:
Grouped from EDGAR: Contract with Customer, Liability, Current. Included broker-dealer current liability concepts reported in the SEC filing. Grouped from EDGAR: Operating Lease, Liability, Contract with Customer, Liability, Current. Included broker-dealer current liability concepts reported in the SEC filing. Grouped from EDGAR: Operating Lease, Liability, Contract With Customer Liability Current. Included broker-dealer current liability concepts reported in the SEC filing.</t>
        </r>
      </text>
    </comment>
    <comment ref="F139" authorId="0">
      <text>
        <r>
          <rPr>
            <b/>
          </rPr>
          <t xml:space="preserve">EDGAR Mapper:
</t>
        </r>
        <r>
          <t xml:space="preserve">======
ID#AAABbnJBVxA
Lilianna Ruby    (2025-01-14 21:09:38)
Current operating lease liabilities, deferred revenue, other
EDGAR Mapper:
EDGAR mapping:
Source: 10-Q, accession #0001060391-23-000013, filed 2023-04-28
Period: 1Q23 / period ended 2023-03-31
Model row: Model!139 Other Current Liabilities
Mapping type: direct
Concepts used: ContractWithCustomerLiabilityCurrent = 467.1 mm
Unit conversion: raw USD to $mm
Sign: copied using model sign convention
Confidence: high
Value written: 467.1
Notes: Grouped from EDGAR: Contract with Customer, Liability, Current. Included broker-dealer current liability concepts reported in the SEC filing.</t>
        </r>
      </text>
    </comment>
    <comment ref="G139" authorId="0">
      <text>
        <r>
          <rPr>
            <b/>
          </rPr>
          <t xml:space="preserve">EDGAR Mapper:
</t>
        </r>
        <r>
          <t xml:space="preserve">EDGAR mapping:
Source: 10-Q, accession #0001060391-23-000019, filed 2023-08-01
Period: 2Q23 / period ended 2023-06-30
Model row: Model!139 Other Current Liabilities
Mapping type: direct
Concepts used: ContractWithCustomerLiabilityCurrent = 467.4 mm
Unit conversion: raw USD to $mm
Sign: copied using model sign convention
Confidence: high
Value written: 467.4
Notes: Grouped from EDGAR: Contract with Customer, Liability, Current. Included broker-dealer current liability concepts reported in the SEC filing.</t>
        </r>
      </text>
    </comment>
    <comment ref="H139" authorId="0">
      <text>
        <r>
          <rPr>
            <b/>
          </rPr>
          <t xml:space="preserve">EDGAR Mapper:
</t>
        </r>
        <r>
          <t xml:space="preserve">EDGAR mapping:
Source: 10-Q, accession #0001060391-23-000025, filed 2023-10-27
Period: 3Q23 / period ended 2023-09-30
Model row: Model!139 Other Current Liabilities
Mapping type: direct
Concepts used: ContractWithCustomerLiabilityCurrent = 484.8 mm
Unit conversion: raw USD to $mm
Sign: copied using model sign convention
Confidence: high
Value written: 484.8
Notes: Grouped from EDGAR: Contract with Customer, Liability, Current. Included broker-dealer current liability concepts reported in the SEC filing.</t>
        </r>
      </text>
    </comment>
    <comment ref="I139" authorId="0">
      <text>
        <r>
          <rPr>
            <b/>
          </rPr>
          <t xml:space="preserve">EDGAR Mapper:
</t>
        </r>
        <r>
          <t xml:space="preserve">EDGAR mapping:
Source: 10-K, accession #0001060391-24-000142, filed 2024-02-29
Period: 4Q23 / period ended 2023-12-31
Model row: Model!139 Other Current Liabilities
Mapping type: grouped
Concepts used: OperatingLeaseLiability = 249.7 mm; ContractWithCustomerLiabilityCurrent = 467 mm
Unit conversion: raw USD to $mm
Sign: copied using model sign convention
Confidence: high
Value written: 716.7
Notes: Grouped from EDGAR: Operating Lease, Liability, Contract with Customer, Liability, Current. Included broker-dealer current liability concepts reported in the SEC filing.</t>
        </r>
      </text>
    </comment>
    <comment ref="K139" authorId="0">
      <text>
        <r>
          <rPr>
            <b/>
          </rPr>
          <t xml:space="preserve">EDGAR Mapper:
</t>
        </r>
        <r>
          <t xml:space="preserve">======
ID#AAABbnJBVxA
Lilianna Ruby    (2025-01-14 21:09:38)
Current operating lease liabilities, deferred revenue, other
EDGAR Mapper:
EDGAR mapping:
Source: 10-Q, accession #0001060391-24-000205, filed 2024-05-01
Period: 1Q24 / period ended 2024-03-31
Model row: Model!139 Other Current Liabilities
Mapping type: direct
Concepts used: ContractWithCustomerLiabilityCurrent = 472.2 mm
Unit conversion: raw USD to $mm
Sign: copied using model sign convention
Confidence: high
Value written: 472.2
Notes: Grouped from EDGAR: Contract with Customer, Liability, Current. Included broker-dealer current liability concepts reported in the SEC filing.</t>
        </r>
      </text>
    </comment>
    <comment ref="L139" authorId="0">
      <text>
        <r>
          <rPr>
            <b/>
          </rPr>
          <t xml:space="preserve">EDGAR Mapper:
</t>
        </r>
        <r>
          <t xml:space="preserve">EDGAR mapping:
Source: 10-Q, accession #0001060391-24-000273, filed 2024-07-25
Period: 2Q24 / period ended 2024-06-30
Model row: Model!139 Other Current Liabilities
Mapping type: direct
Concepts used: ContractWithCustomerLiabilityCurrent = 472.5 mm
Unit conversion: raw USD to $mm
Sign: copied using model sign convention
Confidence: high
Value written: 472.5
Notes: Grouped from EDGAR: Contract with Customer, Liability, Current. Included broker-dealer current liability concepts reported in the SEC filing.</t>
        </r>
      </text>
    </comment>
    <comment ref="M139" authorId="0">
      <text>
        <r>
          <rPr>
            <b/>
          </rPr>
          <t xml:space="preserve">EDGAR Mapper:
</t>
        </r>
        <r>
          <t xml:space="preserve">EDGAR mapping:
Source: 10-Q, accession #0001060391-24-000324, filed 2024-10-30
Period: 3Q24 / period ended 2024-09-30
Model row: Model!139 Other Current Liabilities
Mapping type: direct
Concepts used: ContractWithCustomerLiabilityCurrent = 485.5 mm
Unit conversion: raw USD to $mm
Sign: copied using model sign convention
Confidence: high
Value written: 485.5
Notes: Grouped from EDGAR: Contract with Customer, Liability, Current. Included broker-dealer current liability concepts reported in the SEC filing.</t>
        </r>
      </text>
    </comment>
    <comment ref="N139" authorId="0">
      <text>
        <r>
          <rPr>
            <b/>
          </rPr>
          <t xml:space="preserve">EDGAR Mapper:
</t>
        </r>
        <r>
          <t xml:space="preserve">EDGAR mapping:
Source: 10-K, accession #0001060391-25-000091, filed 2025-02-14
Period: 4Q24 / period ended 2024-12-31
Model row: Model!139 Other Current Liabilities
Mapping type: grouped
Concepts used: OperatingLeaseLiability = 244 mm; ContractWithCustomerLiabilityCurrent = 485 mm
Unit conversion: raw USD to $mm
Sign: copied using model sign convention
Confidence: high
Value written: 729
Notes: Grouped from EDGAR: Operating Lease, Liability, Contract with Customer, Liability, Current. Included broker-dealer current liability concepts reported in the SEC filing.</t>
        </r>
      </text>
    </comment>
    <comment ref="P139" authorId="0">
      <text>
        <r>
          <rPr>
            <b/>
          </rPr>
          <t xml:space="preserve">EDGAR Mapper:
</t>
        </r>
        <r>
          <t xml:space="preserve">======
ID#AAABbnJBV00
Lilianna Ruby    (2025-01-14 21:09:38)
Current operating lease liabilities, deferred revenue, other
EDGAR Mapper:
EDGAR mapping:
Source: 10-Q, accession #0001060391-25-000170, filed 2025-04-25
Period: 1Q25 / period ended 2025-03-31
Model row: Model!139 Other Current Liabilities
Mapping type: direct
Concepts used: ContractWithCustomerLiabilityCurrent = 504 mm
Unit conversion: raw USD to $mm
Sign: copied using model sign convention
Confidence: high
Value written: 504
Notes: Grouped from EDGAR: Contract with Customer, Liability, Current. Included broker-dealer current liability concepts reported in the SEC filing.</t>
        </r>
      </text>
    </comment>
    <comment ref="Q139" authorId="0">
      <text>
        <r>
          <rPr>
            <b/>
          </rPr>
          <t xml:space="preserve">EDGAR Mapper:
</t>
        </r>
        <r>
          <t xml:space="preserve">EDGAR mapping:
Source: 10-Q, accession #0001060391-25-000216, filed 2025-07-30
Period: 2Q25 / period ended 2025-06-30
Model row: Model!139 Other Current Liabilities
Mapping type: direct
Concepts used: ContractWithCustomerLiabilityCurrent = 490 mm
Unit conversion: raw USD to $mm
Sign: copied using model sign convention
Confidence: high
Value written: 490
Notes: Grouped from EDGAR: Contract with Customer, Liability, Current. Included broker-dealer current liability concepts reported in the SEC filing.</t>
        </r>
      </text>
    </comment>
    <comment ref="R139" authorId="0">
      <text>
        <r>
          <rPr>
            <b/>
          </rPr>
          <t xml:space="preserve">EDGAR Mapper:
</t>
        </r>
        <r>
          <t xml:space="preserve">EDGAR mapping:
Source: 10-Q, accession #0001628280-25-047655, filed 2025-10-31
Period: 3Q25 / period ended 2025-09-30
Model row: Model!139 Other Current Liabilities
Mapping type: direct
Concepts used: ContractWithCustomerLiabilityCurrent = 504 mm
Unit conversion: raw USD to $mm
Sign: copied using model sign convention
Confidence: high
Value written: 504
Notes: Grouped from EDGAR: Contract with Customer, Liability, Current. Included broker-dealer current liability concepts reported in the SEC filing.</t>
        </r>
      </text>
    </comment>
    <comment ref="S139" authorId="0">
      <text>
        <r>
          <rPr>
            <b/>
          </rPr>
          <t xml:space="preserve">EDGAR Mapper:
</t>
        </r>
        <r>
          <t xml:space="preserve">EDGAR mapping:
Source: 10-K, accession #0001060391-26-000094, filed 2026-02-18
Period: 4Q25 / period ended 2025-12-31
Model row: Model!139 Other Current Liabilities
Mapping type: grouped
Concepts used: OperatingLeaseLiability = 225 mm; ContractWithCustomerLiabilityCurrent = 496 mm
Unit conversion: raw USD to $mm
Sign: copied using model sign convention
Confidence: high
Value written: 721
Notes: Grouped from EDGAR: Operating Lease, Liability, Contract With Customer Liability Current. Included broker-dealer current liability concepts reported in the SEC filing.</t>
        </r>
      </text>
    </comment>
    <comment ref="U139" authorId="0">
      <text>
        <r>
          <rPr>
            <color theme="1"/>
            <family val="2"/>
            <scheme val="minor"/>
            <sz val="11"/>
            <rFont val="Calibri"/>
          </rPr>
          <t xml:space="preserve">======
ID#AAABbnJBV1E
Lilianna Ruby    (2025-01-14 21:09:38)
Current operating lease liabilities, deferred revenue, other</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and Lease Obligation, Including Current Maturities. Grouped from EDGAR: Long Term Debt and Capital Lease Obligations Including Current Maturities.</t>
        </r>
      </text>
    </comment>
    <comment ref="F143" authorId="0">
      <text>
        <r>
          <rPr>
            <b/>
          </rPr>
          <t xml:space="preserve">EDGAR Mapper:
</t>
        </r>
        <r>
          <t xml:space="preserve">EDGAR mapping:
Source: 10-Q, accession #0001060391-23-000013, filed 2023-04-28
Period: 1Q23 / period ended 2023-03-31
Model row: Model!143 LT Debt (Incl. Current Portion)
Mapping type: grouped
Concepts used: LongTermDebtAndCapitalLeaseObligationsIncludingCurrentMaturities = 11924.9 mm
Unit conversion: raw USD to $mm
Sign: copied using model sign convention
Confidence: high
Value written: 11924.9
Notes: Grouped from EDGAR: Long-term Debt and Lease Obligation, Including Current Maturities.</t>
        </r>
      </text>
    </comment>
    <comment ref="G143" authorId="0">
      <text>
        <r>
          <rPr>
            <b/>
          </rPr>
          <t xml:space="preserve">EDGAR Mapper:
</t>
        </r>
        <r>
          <t xml:space="preserve">EDGAR mapping:
Source: 10-Q, accession #0001060391-23-000019, filed 2023-08-01
Period: 2Q23 / period ended 2023-06-30
Model row: Model!143 LT Debt (Incl. Current Portion)
Mapping type: grouped
Concepts used: LongTermDebtAndCapitalLeaseObligationsIncludingCurrentMaturities = 12113.2 mm
Unit conversion: raw USD to $mm
Sign: copied using model sign convention
Confidence: high
Value written: 12113.2
Notes: Grouped from EDGAR: Long-term Debt and Lease Obligation, Including Current Maturities.</t>
        </r>
      </text>
    </comment>
    <comment ref="H143" authorId="0">
      <text>
        <r>
          <rPr>
            <b/>
          </rPr>
          <t xml:space="preserve">EDGAR Mapper:
</t>
        </r>
        <r>
          <t xml:space="preserve">EDGAR mapping:
Source: 10-Q, accession #0001060391-23-000025, filed 2023-10-27
Period: 3Q23 / period ended 2023-09-30
Model row: Model!143 LT Debt (Incl. Current Portion)
Mapping type: grouped
Concepts used: LongTermDebtAndCapitalLeaseObligationsIncludingCurrentMaturities = 11925.1 mm
Unit conversion: raw USD to $mm
Sign: copied using model sign convention
Confidence: high
Value written: 11925.1
Notes: Grouped from EDGAR: Long-term Debt and Lease Obligation, Including Current Maturities.</t>
        </r>
      </text>
    </comment>
    <comment ref="I143" authorId="0">
      <text>
        <r>
          <rPr>
            <b/>
          </rPr>
          <t xml:space="preserve">EDGAR Mapper:
</t>
        </r>
        <r>
          <t xml:space="preserve">EDGAR mapping:
Source: 10-K, accession #0001060391-25-000091, filed 2025-02-14
Period: 4Q23 / period ended 2023-12-31
Model row: Model!143 LT Debt (Incl. Current Portion)
Mapping type: grouped
Concepts used: LongTermDebtAndCapitalLeaseObligationsIncludingCurrentMaturities = 12819 mm
Unit conversion: raw USD to $mm
Sign: copied using model sign convention
Confidence: high
Value written: 12819
Notes: Grouped from EDGAR: Long-term Debt and Lease Obligation, Including Current Maturities.</t>
        </r>
      </text>
    </comment>
    <comment ref="K143" authorId="0">
      <text>
        <r>
          <rPr>
            <b/>
          </rPr>
          <t xml:space="preserve">EDGAR Mapper:
</t>
        </r>
        <r>
          <t xml:space="preserve">EDGAR mapping:
Source: 10-Q, accession #0001060391-24-000205, filed 2024-05-01
Period: 1Q24 / period ended 2024-03-31
Model row: Model!143 LT Debt (Incl. Current Portion)
Mapping type: grouped
Concepts used: LongTermDebtAndCapitalLeaseObligationsIncludingCurrentMaturities = 12832 mm
Unit conversion: raw USD to $mm
Sign: copied using model sign convention
Confidence: high
Value written: 12832
Notes: Grouped from EDGAR: Long-term Debt and Lease Obligation, Including Current Maturities.</t>
        </r>
      </text>
    </comment>
    <comment ref="L143" authorId="0">
      <text>
        <r>
          <rPr>
            <b/>
          </rPr>
          <t xml:space="preserve">EDGAR Mapper:
</t>
        </r>
        <r>
          <t xml:space="preserve">EDGAR mapping:
Source: 10-Q, accession #0001060391-24-000273, filed 2024-07-25
Period: 2Q24 / period ended 2024-06-30
Model row: Model!143 LT Debt (Incl. Current Portion)
Mapping type: grouped
Concepts used: LongTermDebtAndCapitalLeaseObligationsIncludingCurrentMaturities = 12959.7 mm
Unit conversion: raw USD to $mm
Sign: copied using model sign convention
Confidence: high
Value written: 12959.7
Notes: Grouped from EDGAR: Long-term Debt and Lease Obligation, Including Current Maturities.</t>
        </r>
      </text>
    </comment>
    <comment ref="M143" authorId="0">
      <text>
        <r>
          <rPr>
            <b/>
          </rPr>
          <t xml:space="preserve">EDGAR Mapper:
</t>
        </r>
        <r>
          <t xml:space="preserve">EDGAR mapping:
Source: 10-Q, accession #0001060391-24-000324, filed 2024-10-30
Period: 3Q24 / period ended 2024-09-30
Model row: Model!143 LT Debt (Incl. Current Portion)
Mapping type: grouped
Concepts used: LongTermDebtAndCapitalLeaseObligationsIncludingCurrentMaturities = 12560.4 mm
Unit conversion: raw USD to $mm
Sign: copied using model sign convention
Confidence: high
Value written: 12560.4
Notes: Grouped from EDGAR: Long-term Debt and Lease Obligation, Including Current Maturities.</t>
        </r>
      </text>
    </comment>
    <comment ref="N143" authorId="0">
      <text>
        <r>
          <rPr>
            <b/>
          </rPr>
          <t xml:space="preserve">EDGAR Mapper:
</t>
        </r>
        <r>
          <t xml:space="preserve">EDGAR mapping:
Source: 10-K, accession #0001060391-26-000094, filed 2026-02-18
Period: 4Q24 / period ended 2024-12-31
Model row: Model!143 LT Debt (Incl. Current Portion)
Mapping type: grouped
Concepts used: LongTermDebtAndCapitalLeaseObligationsIncludingCurrentMaturities = 12713 mm
Unit conversion: raw USD to $mm
Sign: copied using model sign convention
Confidence: high
Value written: 12713
Notes: Grouped from EDGAR: Long-term Debt and Lease Obligation, Including Current Maturities.</t>
        </r>
      </text>
    </comment>
    <comment ref="P143" authorId="0">
      <text>
        <r>
          <rPr>
            <b/>
          </rPr>
          <t xml:space="preserve">EDGAR Mapper:
</t>
        </r>
        <r>
          <t xml:space="preserve">EDGAR mapping:
Source: 10-Q, accession #0001060391-25-000170, filed 2025-04-25
Period: 1Q25 / period ended 2025-03-31
Model row: Model!143 LT Debt (Incl. Current Portion)
Mapping type: grouped
Concepts used: LongTermDebtAndCapitalLeaseObligationsIncludingCurrentMaturities = 13283 mm
Unit conversion: raw USD to $mm
Sign: copied using model sign convention
Confidence: high
Value written: 13283
Notes: Grouped from EDGAR: Long-term Debt and Lease Obligation, Including Current Maturities.</t>
        </r>
      </text>
    </comment>
    <comment ref="Q143" authorId="0">
      <text>
        <r>
          <rPr>
            <b/>
          </rPr>
          <t xml:space="preserve">EDGAR Mapper:
</t>
        </r>
        <r>
          <t xml:space="preserve">EDGAR mapping:
Source: 10-Q, accession #0001060391-25-000216, filed 2025-07-30
Period: 2Q25 / period ended 2025-06-30
Model row: Model!143 LT Debt (Incl. Current Portion)
Mapping type: grouped
Concepts used: LongTermDebtAndCapitalLeaseObligationsIncludingCurrentMaturities = 12967 mm
Unit conversion: raw USD to $mm
Sign: copied using model sign convention
Confidence: high
Value written: 12967
Notes: Grouped from EDGAR: Long-term Debt and Lease Obligation, Including Current Maturities.</t>
        </r>
      </text>
    </comment>
    <comment ref="R143" authorId="0">
      <text>
        <r>
          <rPr>
            <b/>
          </rPr>
          <t xml:space="preserve">EDGAR Mapper:
</t>
        </r>
        <r>
          <t xml:space="preserve">EDGAR mapping:
Source: 10-Q, accession #0001628280-25-047655, filed 2025-10-31
Period: 3Q25 / period ended 2025-09-30
Model row: Model!143 LT Debt (Incl. Current Portion)
Mapping type: grouped
Concepts used: LongTermDebtAndCapitalLeaseObligationsIncludingCurrentMaturities = 13274 mm
Unit conversion: raw USD to $mm
Sign: copied using model sign convention
Confidence: high
Value written: 13274
Notes: Grouped from EDGAR: Long-term Debt and Lease Obligation, Including Current Maturities.</t>
        </r>
      </text>
    </comment>
    <comment ref="S143" authorId="0">
      <text>
        <r>
          <rPr>
            <b/>
          </rPr>
          <t xml:space="preserve">EDGAR Mapper:
</t>
        </r>
        <r>
          <t xml:space="preserve">EDGAR mapping:
Source: 10-K, accession #0001060391-26-000094, filed 2026-02-18
Period: 4Q25 / period ended 2025-12-31
Model row: Model!143 LT Debt (Incl. Current Portion)
Mapping type: grouped
Concepts used: LongTermDebtAndCapitalLeaseObligationsIncludingCurrentMaturities = 13581 mm
Unit conversion: raw USD to $mm
Sign: copied using model sign convention
Confidence: high
Value written: 13581
Notes: Grouped from EDGAR: Long Term Debt and Capital Lease Obligations Including Current Maturities.</t>
        </r>
      </text>
    </comment>
    <comment ref="C144" authorId="0">
      <text>
        <r>
          <rPr>
            <b/>
          </rPr>
          <t xml:space="preserve">EDGAR Mapper:
</t>
        </r>
        <r>
          <t>Needs review: one or more historical periods were left unchanged because no matching EDGAR fact was found.</t>
        </r>
      </text>
    </comment>
    <comment ref="C145" authorId="0">
      <text>
        <r>
          <rPr>
            <b/>
          </rPr>
          <t xml:space="preserve">EDGAR Mapper:
</t>
        </r>
        <r>
          <t xml:space="preserve">======
ID#AAABbnJBVw8
Luke Brennan    (2025-01-14 21:09:38)
Accrued Retiree Healthcare
Accrued Pension Plan Liability, net
and Other LT Liabilities
EDGAR Mapper: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Grouped from EDGAR: Assets, Liabilities, Current, Long Term Debt Current, Long-term Debt and Lease Obligation, Current, Long-term Debt and Lease Obligation, Long-term Debt and Lease Obligation, Including Current Maturities, Long-term Debt, Deferred Tax Liabilities Noncurrent, Stockholders' Equity Attributable to Parent, Stockholders' Equity Attributable to Noncontrolling Interest. Included total assets less current liabilities, debt, deferred taxes, shareholder equity, and noncontrolling interests. Grouped from EDGAR: Assets, Liabilities Current, Long Term Debt Current, Long Term Debt and Capital Lease Obligations Current, Long Term Debt and Capital Lease Obligations, Long Term Debt and Capital Lease Obligations Including Current Maturities, Long-term Debt, Deferred Tax Liabilities Noncurrent, Stockholders Equity, Minority Interest. Included total assets less current liabilities, debt, deferred taxes, shareholder equity, and noncontrolling interests.</t>
        </r>
      </text>
    </comment>
    <comment ref="F145" authorId="0">
      <text>
        <r>
          <rPr>
            <b/>
          </rPr>
          <t xml:space="preserve">EDGAR Mapper:
</t>
        </r>
        <r>
          <t xml:space="preserve">EDGAR mapping:
Source: 10-Q, accession #0001060391-24-000205, filed 2024-05-01
Period: 1Q23 / period ended 2023-03-31
Model row: Model!145 Other Non-Current Liabilities
Mapping type: grouped
Concepts used: Assets = 29081.4 mm; LiabilitiesCurrent = 3029.3 mm; LongTermDebtCurrent = 0 mm; LongTermDebtAndCapitalLeaseObligationsCurrent = 457.1 mm; LongTermDebtAndCapitalLeaseObligations = 11467.8 mm; LongTermDebtAndCapitalLeaseObligationsIncludingCurrentMaturities = 11924.9 mm; DeferredTaxLiabilitiesNoncurrent = 0 mm; StockholdersEquity = 9916.5 mm; MinorityInterest = 0.8 mm
Unit conversion: raw USD to $mm
Sign: copied using model sign convention
Confidence: high
Value written: -7715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G145" authorId="0">
      <text>
        <r>
          <rPr>
            <b/>
          </rPr>
          <t xml:space="preserve">EDGAR Mapper:
</t>
        </r>
        <r>
          <t xml:space="preserve">EDGAR mapping:
Source: 10-Q, accession #0001060391-24-000273, filed 2024-07-25
Period: 2Q23 / period ended 2023-06-30
Model row: Model!145 Other Non-Current Liabilities
Mapping type: grouped
Concepts used: Assets = 29823.3 mm; LiabilitiesCurrent = 2987.9 mm; LongTermDebtCurrent = 0 mm; LongTermDebtAndCapitalLeaseObligationsCurrent = 152.8 mm; LongTermDebtAndCapitalLeaseObligations = 11960.4 mm; LongTermDebtAndCapitalLeaseObligationsIncludingCurrentMaturities = 12113.2 mm; DeferredTaxLiabilitiesNoncurrent = 0 mm; StockholdersEquity = 10203.7 mm; MinorityInterest = 1 mm
Unit conversion: raw USD to $mm
Sign: copied using model sign convention
Confidence: high
Value written: -7595.7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H145" authorId="0">
      <text>
        <r>
          <rPr>
            <b/>
          </rPr>
          <t xml:space="preserve">EDGAR Mapper:
</t>
        </r>
        <r>
          <t xml:space="preserve">EDGAR mapping:
Source: 10-Q, accession #0001060391-24-000324, filed 2024-10-30
Period: 3Q23 / period ended 2023-09-30
Model row: Model!145 Other Non-Current Liabilities
Mapping type: grouped
Concepts used: Assets = 30042.8 mm; LiabilitiesCurrent = 4068.8 mm; LongTermDebtCurrent = 0 mm; LongTermDebtAndCapitalLeaseObligationsCurrent = 932.3 mm; LongTermDebtAndCapitalLeaseObligations = 10992.8 mm; LongTermDebtAndCapitalLeaseObligationsIncludingCurrentMaturities = 11925.1 mm; DeferredTaxLiabilitiesNoncurrent = 0 mm; StockholdersEquity = 10331.3 mm; MinorityInterest = 1.1 mm
Unit conversion: raw USD to $mm
Sign: copied using model sign convention
Confidence: high
Value written: -8208.6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I145" authorId="0">
      <text>
        <r>
          <rPr>
            <b/>
          </rPr>
          <t xml:space="preserve">EDGAR Mapper:
</t>
        </r>
        <r>
          <t xml:space="preserve">EDGAR mapping:
Source: 10-K, accession #0001060391-26-000094, filed 2026-02-18
Period: 4Q23 / period ended 2023-12-31
Model row: Model!145 Other Non-Current Liabilities
Mapping type: grouped
Concepts used: Assets = 31410 mm; LiabilitiesCurrent = 4228 mm; LongTermDebtCurrent = 0 mm; LongTermDebtAndCapitalLeaseObligationsCurrent = 932 mm; LongTermDebtAndCapitalLeaseObligations = 11887 mm; LongTermDebtAndCapitalLeaseObligationsIncludingCurrentMaturities = 12819 mm; LongTermDebt = 12819.4 mm; DeferredTaxLiabilitiesNoncurrent = 0 mm; StockholdersEquity = 10542 mm; MinorityInterest = 1 mm
Unit conversion: raw USD to $mm
Sign: copied using model sign convention
Confidence: high
Value written: -21818.4
Notes: Grouped from EDGAR: Assets, Liabilities, Current, Long Term Debt Current, Long-term Debt and Lease Obligation, Current, Long-term Debt and Lease Obligation, Long-term Debt and Lease Obligation, Including Current Maturities, Long-term Debt,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K145" authorId="0">
      <text>
        <r>
          <rPr>
            <b/>
          </rPr>
          <t xml:space="preserve">EDGAR Mapper:
</t>
        </r>
        <r>
          <t xml:space="preserve">EDGAR mapping:
Source: 10-Q, accession #0001060391-25-000170, filed 2025-04-25
Period: 1Q24 / period ended 2024-03-31
Model row: Model!145 Other Non-Current Liabilities
Mapping type: grouped
Concepts used: Assets = 31382 mm; LiabilitiesCurrent = 4325.9 mm; LongTermDebtCurrent = 0 mm; LongTermDebtAndCapitalLeaseObligationsCurrent = 1431.9 mm; LongTermDebtAndCapitalLeaseObligations = 11400.1 mm; LongTermDebtAndCapitalLeaseObligationsIncludingCurrentMaturities = 12832 mm; DeferredTaxLiabilitiesNoncurrent = 0 mm; StockholdersEquity = 10819.8 mm; MinorityInterest = 0.8 mm
Unit conversion: raw USD to $mm
Sign: copied using model sign convention
Confidence: high
Value written: -9428.5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L145" authorId="0">
      <text>
        <r>
          <rPr>
            <b/>
          </rPr>
          <t xml:space="preserve">EDGAR Mapper:
</t>
        </r>
        <r>
          <t xml:space="preserve">EDGAR mapping:
Source: 10-Q, accession #0001060391-25-000216, filed 2025-07-30
Period: 2Q24 / period ended 2024-06-30
Model row: Model!145 Other Non-Current Liabilities
Mapping type: grouped
Concepts used: Assets = 31934 mm; LiabilitiesCurrent = 4533.6 mm; LongTermDebtCurrent = 0 mm; LongTermDebtAndCapitalLeaseObligationsCurrent = 1432.9 mm; LongTermDebtAndCapitalLeaseObligations = 11526.8 mm; LongTermDebtAndCapitalLeaseObligationsIncludingCurrentMaturities = 12959.7 mm; DeferredTaxLiabilitiesNoncurrent = 0 mm; StockholdersEquity = 11005.1 mm; MinorityInterest = 1.2 mm
Unit conversion: raw USD to $mm
Sign: copied using model sign convention
Confidence: high
Value written: -9525.3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M145" authorId="0">
      <text>
        <r>
          <rPr>
            <b/>
          </rPr>
          <t xml:space="preserve">EDGAR Mapper:
</t>
        </r>
        <r>
          <t xml:space="preserve">EDGAR mapping:
Source: 10-Q, accession #0001628280-25-047655, filed 2025-10-31
Period: 3Q24 / period ended 2024-09-30
Model row: Model!145 Other Non-Current Liabilities
Mapping type: grouped
Concepts used: Assets = 31814 mm; LiabilitiesCurrent = 3641.5 mm; LongTermDebtCurrent = 0 mm; LongTermDebtAndCapitalLeaseObligationsCurrent = 513 mm; LongTermDebtAndCapitalLeaseObligations = 12047.4 mm; LongTermDebtAndCapitalLeaseObligationsIncludingCurrentMaturities = 12560.4 mm; DeferredTaxLiabilitiesNoncurrent = 0 mm; StockholdersEquity = 11228.8 mm; MinorityInterest = 1.4 mm
Unit conversion: raw USD to $mm
Sign: copied using model sign convention
Confidence: high
Value written: -8178.5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N145" authorId="0">
      <text>
        <r>
          <rPr>
            <b/>
          </rPr>
          <t xml:space="preserve">EDGAR Mapper:
</t>
        </r>
        <r>
          <t xml:space="preserve">EDGAR mapping:
Source: 10-K, accession #0001060391-26-000094, filed 2026-02-18
Period: 4Q24 / period ended 2024-12-31
Model row: Model!145 Other Non-Current Liabilities
Mapping type: grouped
Concepts used: Assets = 32402 mm; LiabilitiesCurrent = 4128 mm; LongTermDebtCurrent = 0 mm; LongTermDebtAndCapitalLeaseObligationsCurrent = 862 mm; LongTermDebtAndCapitalLeaseObligations = 11851 mm; LongTermDebtAndCapitalLeaseObligationsIncludingCurrentMaturities = 12713 mm; LongTermDebt = 12840 mm; DeferredTaxLiabilitiesNoncurrent = 0 mm; StockholdersEquity = 11405 mm; MinorityInterest = 2 mm
Unit conversion: raw USD to $mm
Sign: copied using model sign convention
Confidence: high
Value written: -21399
Notes: Grouped from EDGAR: Assets, Liabilities, Current, Long Term Debt Current, Long-term Debt and Lease Obligation, Current, Long-term Debt and Lease Obligation, Long-term Debt and Lease Obligation, Including Current Maturities, Long-term Debt,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P145" authorId="0">
      <text>
        <r>
          <rPr>
            <b/>
          </rPr>
          <t xml:space="preserve">EDGAR Mapper:
</t>
        </r>
        <r>
          <t xml:space="preserve">EDGAR mapping:
Source: 10-Q, accession #0001060391-26-000212, filed 2026-05-08
Period: 1Q25 / period ended 2025-03-31
Model row: Model!145 Other Non-Current Liabilities
Mapping type: grouped
Concepts used: Assets = 33103 mm; LiabilitiesCurrent = 3491 mm; LongTermDebtCurrent = 0 mm; LongTermDebtAndCapitalLeaseObligationsCurrent = 421 mm; LongTermDebtAndCapitalLeaseObligations = 12862 mm; LongTermDebtAndCapitalLeaseObligationsIncludingCurrentMaturities = 13283 mm; DeferredTaxLiabilitiesNoncurrent = 0 mm; StockholdersEquity = 11663 mm; MinorityInterest = 2 mm
Unit conversion: raw USD to $mm
Sign: copied using model sign convention
Confidence: high
Value written: -8619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Q145" authorId="0">
      <text>
        <r>
          <rPr>
            <b/>
          </rPr>
          <t xml:space="preserve">EDGAR Mapper:
</t>
        </r>
        <r>
          <t xml:space="preserve">EDGAR mapping:
Source: 10-Q, accession #0001060391-25-000216, filed 2025-07-30
Period: 2Q25 / period ended 2025-06-30
Model row: Model!145 Other Non-Current Liabilities
Mapping type: grouped
Concepts used: Assets = 33397 mm; LiabilitiesCurrent = 3647 mm; LongTermDebtCurrent = 0 mm; LongTermDebtAndCapitalLeaseObligationsCurrent = 421 mm; LongTermDebtAndCapitalLeaseObligations = 12546 mm; LongTermDebtAndCapitalLeaseObligationsIncludingCurrentMaturities = 12967 mm; DeferredTaxLiabilitiesNoncurrent = 0 mm; StockholdersEquity = 12050 mm; MinorityInterest = 2 mm
Unit conversion: raw USD to $mm
Sign: copied using model sign convention
Confidence: high
Value written: -8236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R145" authorId="0">
      <text>
        <r>
          <rPr>
            <b/>
          </rPr>
          <t xml:space="preserve">EDGAR Mapper:
</t>
        </r>
        <r>
          <t xml:space="preserve">EDGAR mapping:
Source: 10-Q, accession #0001628280-25-047655, filed 2025-10-31
Period: 3Q25 / period ended 2025-09-30
Model row: Model!145 Other Non-Current Liabilities
Mapping type: grouped
Concepts used: Assets = 33789 mm; LiabilitiesCurrent = 4263 mm; LongTermDebtCurrent = 0 mm; LongTermDebtAndCapitalLeaseObligationsCurrent = 921 mm; LongTermDebtAndCapitalLeaseObligations = 12353 mm; LongTermDebtAndCapitalLeaseObligationsIncludingCurrentMaturities = 13274 mm; DeferredTaxLiabilitiesNoncurrent = 0 mm; StockholdersEquity = 11871 mm; MinorityInterest = 1 mm
Unit conversion: raw USD to $mm
Sign: copied using model sign convention
Confidence: high
Value written: -8894
Notes: 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
EDGAR Mapper:
Calculated as the residual needed for the Balance Sheet Check to tie to zero using EDGAR-sourced mapped balances.</t>
        </r>
      </text>
    </comment>
    <comment ref="S145" authorId="0">
      <text>
        <r>
          <rPr>
            <b/>
          </rPr>
          <t xml:space="preserve">EDGAR Mapper:
</t>
        </r>
        <r>
          <t xml:space="preserve">EDGAR mapping:
Source: 10-K, accession #0001060391-26-000094, filed 2026-02-18
Period: 4Q25 / period ended 2025-12-31
Model row: Model!145 Other Non-Current Liabilities
Mapping type: grouped
Concepts used: Assets = 34366 mm; LiabilitiesCurrent = 3928 mm; LongTermDebtCurrent = 0 mm; LongTermDebtAndCapitalLeaseObligationsCurrent = 596 mm; LongTermDebtAndCapitalLeaseObligations = 12985 mm; LongTermDebtAndCapitalLeaseObligationsIncludingCurrentMaturities = 13581 mm; LongTermDebt = 13710 mm; DeferredTaxLiabilitiesNoncurrent = 0 mm; StockholdersEquity = 11968 mm; MinorityInterest = 1 mm
Unit conversion: raw USD to $mm
Sign: copied using model sign convention
Confidence: high
Value written: -22403
Notes: Grouped from EDGAR: Assets, Liabilities Current, Long Term Debt Current, Long Term Debt and Capital Lease Obligations Current, Long Term Debt and Capital Lease Obligations, Long Term Debt and Capital Lease Obligations Including Current Maturities, Long-term Debt, Deferred Tax Liabilities Noncurrent, Stockholders Equity, Minority Interest. Included total assets less current liabilities, debt, deferred taxes, shareholder equity, and noncontrolling interests.
EDGAR Mapper:
Calculated as the residual needed for the Balance Sheet Check to tie to zero using EDGAR-sourced mapped balances.</t>
        </r>
      </text>
    </comment>
    <comment ref="C150"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50" authorId="0">
      <text>
        <r>
          <rPr>
            <b/>
          </rPr>
          <t xml:space="preserve">EDGAR Mapper:
</t>
        </r>
        <r>
          <t xml:space="preserve">EDGAR mapping:
Source: 10-Q, accession #0001060391-23-000013, filed 2023-04-28
Period: 1Q23 / period ended 2023-03-31
Model row: Model!150 Common Stock &amp; APIC
Mapping type: grouped
Concepts used: StockholdersEquity = 9916.5 mm; RetainedEarningsAccumulatedDeficit = 7582.7 mm; TreasuryStockValue = 0 mm; AccumulatedOtherComprehensiveIncomeLossNetOfTax = -9.3 mm
Unit conversion: raw USD to $mm
Sign: copied using model sign convention
Confidence: high
Value written: 2343.1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50" authorId="0">
      <text>
        <r>
          <rPr>
            <b/>
          </rPr>
          <t xml:space="preserve">EDGAR Mapper:
</t>
        </r>
        <r>
          <t xml:space="preserve">EDGAR mapping:
Source: 10-Q, accession #0001060391-23-000019, filed 2023-08-01
Period: 2Q23 / period ended 2023-06-30
Model row: Model!150 Common Stock &amp; APIC
Mapping type: grouped
Concepts used: StockholdersEquity = 10203.7 mm; RetainedEarningsAccumulatedDeficit = 7852.7 mm; TreasuryStockValue = 0 mm; AccumulatedOtherComprehensiveIncomeLossNetOfTax = -6.7 mm
Unit conversion: raw USD to $mm
Sign: copied using model sign convention
Confidence: high
Value written: 2357.7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50" authorId="0">
      <text>
        <r>
          <rPr>
            <b/>
          </rPr>
          <t xml:space="preserve">EDGAR Mapper:
</t>
        </r>
        <r>
          <t xml:space="preserve">EDGAR mapping:
Source: 10-Q, accession #0001060391-23-000025, filed 2023-10-27
Period: 3Q23 / period ended 2023-09-30
Model row: Model!150 Common Stock &amp; APIC
Mapping type: grouped
Concepts used: StockholdersEquity = 10331.3 mm; RetainedEarningsAccumulatedDeficit = 8163.5 mm; TreasuryStockValue = 0 mm; AccumulatedOtherComprehensiveIncomeLossNetOfTax = -2.5 mm
Unit conversion: raw USD to $mm
Sign: copied using model sign convention
Confidence: high
Value written: 2170.3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50" authorId="0">
      <text>
        <r>
          <rPr>
            <b/>
          </rPr>
          <t xml:space="preserve">EDGAR Mapper:
</t>
        </r>
        <r>
          <t xml:space="preserve">EDGAR mapping:
Source: 10-K, accession #0001060391-25-000091, filed 2025-02-14
Period: 4Q23 / period ended 2023-12-31
Model row: Model!150 Common Stock &amp; APIC
Mapping type: grouped
Concepts used: StockholdersEquity = 10542 mm; RetainedEarningsAccumulatedDeficit = 8434 mm; TreasuryStockValue = 0 mm; AccumulatedOtherComprehensiveIncomeLossNetOfTax = -12 mm
Unit conversion: raw USD to $mm
Sign: copied using model sign convention
Confidence: high
Value written: 2120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50" authorId="0">
      <text>
        <r>
          <rPr>
            <b/>
          </rPr>
          <t xml:space="preserve">EDGAR Mapper:
</t>
        </r>
        <r>
          <t xml:space="preserve">EDGAR mapping:
Source: 10-Q, accession #0001060391-24-000205, filed 2024-05-01
Period: 1Q24 / period ended 2024-03-31
Model row: Model!150 Common Stock &amp; APIC
Mapping type: grouped
Concepts used: StockholdersEquity = 10819.8 mm; RetainedEarningsAccumulatedDeficit = 8717.9 mm; TreasuryStockValue = 0 mm; AccumulatedOtherComprehensiveIncomeLossNetOfTax = -5.3 mm
Unit conversion: raw USD to $mm
Sign: copied using model sign convention
Confidence: high
Value written: 2107.2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50" authorId="0">
      <text>
        <r>
          <rPr>
            <b/>
          </rPr>
          <t xml:space="preserve">EDGAR Mapper:
</t>
        </r>
        <r>
          <t xml:space="preserve">EDGAR mapping:
Source: 10-Q, accession #0001060391-24-000273, filed 2024-07-25
Period: 2Q24 / period ended 2024-06-30
Model row: Model!150 Common Stock &amp; APIC
Mapping type: grouped
Concepts used: StockholdersEquity = 11005.1 mm; RetainedEarningsAccumulatedDeficit = 9060.7 mm; TreasuryStockValue = 0 mm; AccumulatedOtherComprehensiveIncomeLossNetOfTax = -9.1 mm
Unit conversion: raw USD to $mm
Sign: copied using model sign convention
Confidence: high
Value written: 1953.5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50" authorId="0">
      <text>
        <r>
          <rPr>
            <b/>
          </rPr>
          <t xml:space="preserve">EDGAR Mapper:
</t>
        </r>
        <r>
          <t xml:space="preserve">EDGAR mapping:
Source: 10-Q, accession #0001060391-24-000324, filed 2024-10-30
Period: 3Q24 / period ended 2024-09-30
Model row: Model!150 Common Stock &amp; APIC
Mapping type: grouped
Concepts used: StockholdersEquity = 11228.8 mm; RetainedEarningsAccumulatedDeficit = 9443.9 mm; TreasuryStockValue = 0 mm; AccumulatedOtherComprehensiveIncomeLossNetOfTax = -18.6 mm
Unit conversion: raw USD to $mm
Sign: copied using model sign convention
Confidence: high
Value written: 1803.5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50" authorId="0">
      <text>
        <r>
          <rPr>
            <b/>
          </rPr>
          <t xml:space="preserve">EDGAR Mapper:
</t>
        </r>
        <r>
          <t xml:space="preserve">EDGAR mapping:
Source: 10-K, accession #0001060391-26-000094, filed 2026-02-18
Period: 4Q24 / period ended 2024-12-31
Model row: Model!150 Common Stock &amp; APIC
Mapping type: grouped
Concepts used: StockholdersEquity = 11405 mm; RetainedEarningsAccumulatedDeficit = 9774 mm; TreasuryStockValue = 0 mm; AccumulatedOtherComprehensiveIncomeLossNetOfTax = -26 mm
Unit conversion: raw USD to $mm
Sign: copied using model sign convention
Confidence: high
Value written: 1657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50" authorId="0">
      <text>
        <r>
          <rPr>
            <b/>
          </rPr>
          <t xml:space="preserve">EDGAR Mapper:
</t>
        </r>
        <r>
          <t xml:space="preserve">EDGAR mapping:
Source: 10-Q, accession #0001060391-25-000170, filed 2025-04-25
Period: 1Q25 / period ended 2025-03-31
Model row: Model!150 Common Stock &amp; APIC
Mapping type: grouped
Concepts used: StockholdersEquity = 11663 mm; RetainedEarningsAccumulatedDeficit = 10087 mm; TreasuryStockValue = 0 mm; AccumulatedOtherComprehensiveIncomeLossNetOfTax = -31 mm
Unit conversion: raw USD to $mm
Sign: copied using model sign convention
Confidence: high
Value written: 1607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50" authorId="0">
      <text>
        <r>
          <rPr>
            <b/>
          </rPr>
          <t xml:space="preserve">EDGAR Mapper:
</t>
        </r>
        <r>
          <t xml:space="preserve">EDGAR mapping:
Source: 10-Q, accession #0001060391-25-000216, filed 2025-07-30
Period: 2Q25 / period ended 2025-06-30
Model row: Model!150 Common Stock &amp; APIC
Mapping type: grouped
Concepts used: StockholdersEquity = 12050 mm; RetainedEarningsAccumulatedDeficit = 10455 mm; TreasuryStockValue = 0 mm; AccumulatedOtherComprehensiveIncomeLossNetOfTax = -28 mm
Unit conversion: raw USD to $mm
Sign: copied using model sign convention
Confidence: high
Value written: 1623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50" authorId="0">
      <text>
        <r>
          <rPr>
            <b/>
          </rPr>
          <t xml:space="preserve">EDGAR Mapper:
</t>
        </r>
        <r>
          <t xml:space="preserve">EDGAR mapping:
Source: 10-Q, accession #0001628280-25-047655, filed 2025-10-31
Period: 3Q25 / period ended 2025-09-30
Model row: Model!150 Common Stock &amp; APIC
Mapping type: grouped
Concepts used: StockholdersEquity = 11871 mm; RetainedEarningsAccumulatedDeficit = 10810 mm; TreasuryStockValue = 0 mm; AccumulatedOtherComprehensiveIncomeLossNetOfTax = -31 mm
Unit conversion: raw USD to $mm
Sign: copied using model sign convention
Confidence: high
Value written: 1092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50" authorId="0">
      <text>
        <r>
          <rPr>
            <b/>
          </rPr>
          <t xml:space="preserve">EDGAR Mapper:
</t>
        </r>
        <r>
          <t xml:space="preserve">EDGAR mapping:
Source: 10-K, accession #0001060391-26-000094, filed 2026-02-18
Period: 4Q25 / period ended 2025-12-31
Model row: Model!150 Common Stock &amp; APIC
Mapping type: grouped
Concepts used: StockholdersEquity = 11968 mm; RetainedEarningsAccumulatedDeficit = 11161 mm; TreasuryStockValue = 0 mm; AccumulatedOtherComprehensiveIncomeLossNetOfTax = -29 mm
Unit conversion: raw USD to $mm
Sign: copied using model sign convention
Confidence: high
Value written: 836
Notes: Grouped from EDGAR: Stockholders Equity, Retained Earnings Accumulated Deficit, Treasury Stock Value, Accumulated Other Comprehensive income loss net of Tax. Included stockholders' equity less retained earnings, treasury stock, and AOCI.</t>
        </r>
      </text>
    </comment>
    <comment ref="F151" authorId="0">
      <text>
        <r>
          <rPr>
            <b/>
          </rPr>
          <t xml:space="preserve">EDGAR Mapper:
</t>
        </r>
        <r>
          <t xml:space="preserve">EDGAR mapping:
Source: 10-Q, accession #0001060391-23-000013, filed 2023-04-28
Period: 1Q23 / period ended 2023-03-31
Model row: Model!151 Retained Earnings
Mapping type: direct
Concepts used: RetainedEarningsAccumulatedDeficit = 7582.7 mm
Unit conversion: raw USD to $mm
Sign: copied using model sign convention
Confidence: high
Value written: 7582.7</t>
        </r>
      </text>
    </comment>
    <comment ref="G151" authorId="0">
      <text>
        <r>
          <rPr>
            <b/>
          </rPr>
          <t xml:space="preserve">EDGAR Mapper:
</t>
        </r>
        <r>
          <t xml:space="preserve">EDGAR mapping:
Source: 10-Q, accession #0001060391-23-000019, filed 2023-08-01
Period: 2Q23 / period ended 2023-06-30
Model row: Model!151 Retained Earnings
Mapping type: direct
Concepts used: RetainedEarningsAccumulatedDeficit = 7852.7 mm
Unit conversion: raw USD to $mm
Sign: copied using model sign convention
Confidence: high
Value written: 7852.7</t>
        </r>
      </text>
    </comment>
    <comment ref="H151" authorId="0">
      <text>
        <r>
          <rPr>
            <b/>
          </rPr>
          <t xml:space="preserve">EDGAR Mapper:
</t>
        </r>
        <r>
          <t xml:space="preserve">EDGAR mapping:
Source: 10-Q, accession #0001060391-23-000025, filed 2023-10-27
Period: 3Q23 / period ended 2023-09-30
Model row: Model!151 Retained Earnings
Mapping type: direct
Concepts used: RetainedEarningsAccumulatedDeficit = 8163.5 mm
Unit conversion: raw USD to $mm
Sign: copied using model sign convention
Confidence: high
Value written: 8163.5</t>
        </r>
      </text>
    </comment>
    <comment ref="I151" authorId="0">
      <text>
        <r>
          <rPr>
            <b/>
          </rPr>
          <t xml:space="preserve">EDGAR Mapper:
</t>
        </r>
        <r>
          <t xml:space="preserve">EDGAR mapping:
Source: 10-K, accession #0001060391-25-000091, filed 2025-02-14
Period: 4Q23 / period ended 2023-12-31
Model row: Model!151 Retained Earnings
Mapping type: direct
Concepts used: RetainedEarningsAccumulatedDeficit = 8434 mm
Unit conversion: raw USD to $mm
Sign: copied using model sign convention
Confidence: high
Value written: 8434</t>
        </r>
      </text>
    </comment>
    <comment ref="K151" authorId="0">
      <text>
        <r>
          <rPr>
            <b/>
          </rPr>
          <t xml:space="preserve">EDGAR Mapper:
</t>
        </r>
        <r>
          <t xml:space="preserve">EDGAR mapping:
Source: 10-Q, accession #0001060391-24-000205, filed 2024-05-01
Period: 1Q24 / period ended 2024-03-31
Model row: Model!151 Retained Earnings
Mapping type: direct
Concepts used: RetainedEarningsAccumulatedDeficit = 8717.9 mm
Unit conversion: raw USD to $mm
Sign: copied using model sign convention
Confidence: high
Value written: 8717.9</t>
        </r>
      </text>
    </comment>
    <comment ref="L151" authorId="0">
      <text>
        <r>
          <rPr>
            <b/>
          </rPr>
          <t xml:space="preserve">EDGAR Mapper:
</t>
        </r>
        <r>
          <t xml:space="preserve">EDGAR mapping:
Source: 10-Q, accession #0001060391-24-000273, filed 2024-07-25
Period: 2Q24 / period ended 2024-06-30
Model row: Model!151 Retained Earnings
Mapping type: direct
Concepts used: RetainedEarningsAccumulatedDeficit = 9060.7 mm
Unit conversion: raw USD to $mm
Sign: copied using model sign convention
Confidence: high
Value written: 9060.7</t>
        </r>
      </text>
    </comment>
    <comment ref="M151" authorId="0">
      <text>
        <r>
          <rPr>
            <b/>
          </rPr>
          <t xml:space="preserve">EDGAR Mapper:
</t>
        </r>
        <r>
          <t xml:space="preserve">EDGAR mapping:
Source: 10-Q, accession #0001060391-24-000324, filed 2024-10-30
Period: 3Q24 / period ended 2024-09-30
Model row: Model!151 Retained Earnings
Mapping type: direct
Concepts used: RetainedEarningsAccumulatedDeficit = 9443.9 mm
Unit conversion: raw USD to $mm
Sign: copied using model sign convention
Confidence: high
Value written: 9443.9</t>
        </r>
      </text>
    </comment>
    <comment ref="N151" authorId="0">
      <text>
        <r>
          <rPr>
            <b/>
          </rPr>
          <t xml:space="preserve">EDGAR Mapper:
</t>
        </r>
        <r>
          <t xml:space="preserve">EDGAR mapping:
Source: 10-K, accession #0001060391-26-000094, filed 2026-02-18
Period: 4Q24 / period ended 2024-12-31
Model row: Model!151 Retained Earnings
Mapping type: direct
Concepts used: RetainedEarningsAccumulatedDeficit = 9774 mm
Unit conversion: raw USD to $mm
Sign: copied using model sign convention
Confidence: high
Value written: 9774</t>
        </r>
      </text>
    </comment>
    <comment ref="P151" authorId="0">
      <text>
        <r>
          <rPr>
            <b/>
          </rPr>
          <t xml:space="preserve">EDGAR Mapper:
</t>
        </r>
        <r>
          <t xml:space="preserve">EDGAR mapping:
Source: 10-Q, accession #0001060391-25-000170, filed 2025-04-25
Period: 1Q25 / period ended 2025-03-31
Model row: Model!151 Retained Earnings
Mapping type: direct
Concepts used: RetainedEarningsAccumulatedDeficit = 10087 mm
Unit conversion: raw USD to $mm
Sign: copied using model sign convention
Confidence: high
Value written: 10087</t>
        </r>
      </text>
    </comment>
    <comment ref="Q151" authorId="0">
      <text>
        <r>
          <rPr>
            <b/>
          </rPr>
          <t xml:space="preserve">EDGAR Mapper:
</t>
        </r>
        <r>
          <t xml:space="preserve">EDGAR mapping:
Source: 10-Q, accession #0001060391-25-000216, filed 2025-07-30
Period: 2Q25 / period ended 2025-06-30
Model row: Model!151 Retained Earnings
Mapping type: direct
Concepts used: RetainedEarningsAccumulatedDeficit = 10455 mm
Unit conversion: raw USD to $mm
Sign: copied using model sign convention
Confidence: high
Value written: 10455</t>
        </r>
      </text>
    </comment>
    <comment ref="R151" authorId="0">
      <text>
        <r>
          <rPr>
            <b/>
          </rPr>
          <t xml:space="preserve">EDGAR Mapper:
</t>
        </r>
        <r>
          <t xml:space="preserve">EDGAR mapping:
Source: 10-Q, accession #0001628280-25-047655, filed 2025-10-31
Period: 3Q25 / period ended 2025-09-30
Model row: Model!151 Retained Earnings
Mapping type: direct
Concepts used: RetainedEarningsAccumulatedDeficit = 10810 mm
Unit conversion: raw USD to $mm
Sign: copied using model sign convention
Confidence: high
Value written: 10810</t>
        </r>
      </text>
    </comment>
    <comment ref="S151" authorId="0">
      <text>
        <r>
          <rPr>
            <b/>
          </rPr>
          <t xml:space="preserve">EDGAR Mapper:
</t>
        </r>
        <r>
          <t xml:space="preserve">EDGAR mapping:
Source: 10-K, accession #0001060391-26-000094, filed 2026-02-18
Period: 4Q25 / period ended 2025-12-31
Model row: Model!151 Retained Earnings
Mapping type: direct
Concepts used: RetainedEarningsAccumulatedDeficit = 11161 mm
Unit conversion: raw USD to $mm
Sign: copied using model sign convention
Confidence: high
Value written: 11161</t>
        </r>
      </text>
    </comment>
    <comment ref="C152" authorId="0">
      <text>
        <r>
          <rPr>
            <b/>
          </rPr>
          <t xml:space="preserve">EDGAR Mapper:
</t>
        </r>
        <r>
          <t>Grouped from EDGAR: Treasury Stock Value.</t>
        </r>
      </text>
    </comment>
    <comment ref="F152" authorId="0">
      <text>
        <r>
          <rPr>
            <b/>
          </rPr>
          <t xml:space="preserve">EDGAR Mapper:
</t>
        </r>
        <r>
          <t xml:space="preserve">EDGAR mapping:
Source: SEC filing
Period: 1Q23
Model row: Model!152 Treasury Stock
Mapping type: grouped
Concepts used: TreasuryStockValue = 0 mm
Unit conversion: raw USD to $mm
Sign: copied using model sign convention
Confidence: high
Value written: 0
Notes: Grouped from EDGAR: Treasury Stock Value.</t>
        </r>
      </text>
    </comment>
    <comment ref="G152" authorId="0">
      <text>
        <r>
          <rPr>
            <b/>
          </rPr>
          <t xml:space="preserve">EDGAR Mapper:
</t>
        </r>
        <r>
          <t xml:space="preserve">EDGAR mapping:
Source: SEC filing
Period: 2Q23
Model row: Model!152 Treasury Stock
Mapping type: grouped
Concepts used: TreasuryStockValue = 0 mm
Unit conversion: raw USD to $mm
Sign: copied using model sign convention
Confidence: high
Value written: 0
Notes: Grouped from EDGAR: Treasury Stock Value.</t>
        </r>
      </text>
    </comment>
    <comment ref="H152" authorId="0">
      <text>
        <r>
          <rPr>
            <b/>
          </rPr>
          <t xml:space="preserve">EDGAR Mapper:
</t>
        </r>
        <r>
          <t xml:space="preserve">EDGAR mapping:
Source: SEC filing
Period: 3Q23
Model row: Model!152 Treasury Stock
Mapping type: grouped
Concepts used: TreasuryStockValue = 0 mm
Unit conversion: raw USD to $mm
Sign: copied using model sign convention
Confidence: high
Value written: 0
Notes: Grouped from EDGAR: Treasury Stock Value.</t>
        </r>
      </text>
    </comment>
    <comment ref="I152" authorId="0">
      <text>
        <r>
          <rPr>
            <b/>
          </rPr>
          <t xml:space="preserve">EDGAR Mapper:
</t>
        </r>
        <r>
          <t xml:space="preserve">EDGAR mapping:
Source: SEC filing
Period: 4Q23
Model row: Model!152 Treasury Stock
Mapping type: grouped
Concepts used: TreasuryStockValue = 0 mm
Unit conversion: raw USD to $mm
Sign: copied using model sign convention
Confidence: high
Value written: 0
Notes: Grouped from EDGAR: Treasury Stock Value.</t>
        </r>
      </text>
    </comment>
    <comment ref="K152" authorId="0">
      <text>
        <r>
          <rPr>
            <b/>
          </rPr>
          <t xml:space="preserve">EDGAR Mapper:
</t>
        </r>
        <r>
          <t xml:space="preserve">EDGAR mapping:
Source: SEC filing
Period: 1Q24
Model row: Model!152 Treasury Stock
Mapping type: grouped
Concepts used: TreasuryStockValue = 0 mm
Unit conversion: raw USD to $mm
Sign: copied using model sign convention
Confidence: high
Value written: 0
Notes: Grouped from EDGAR: Treasury Stock Value.</t>
        </r>
      </text>
    </comment>
    <comment ref="L152" authorId="0">
      <text>
        <r>
          <rPr>
            <b/>
          </rPr>
          <t xml:space="preserve">EDGAR Mapper:
</t>
        </r>
        <r>
          <t xml:space="preserve">EDGAR mapping:
Source: SEC filing
Period: 2Q24
Model row: Model!152 Treasury Stock
Mapping type: grouped
Concepts used: TreasuryStockValue = 0 mm
Unit conversion: raw USD to $mm
Sign: copied using model sign convention
Confidence: high
Value written: 0
Notes: Grouped from EDGAR: Treasury Stock Value.</t>
        </r>
      </text>
    </comment>
    <comment ref="M152" authorId="0">
      <text>
        <r>
          <rPr>
            <b/>
          </rPr>
          <t xml:space="preserve">EDGAR Mapper:
</t>
        </r>
        <r>
          <t xml:space="preserve">EDGAR mapping:
Source: SEC filing
Period: 3Q24
Model row: Model!152 Treasury Stock
Mapping type: grouped
Concepts used: TreasuryStockValue = 0 mm
Unit conversion: raw USD to $mm
Sign: copied using model sign convention
Confidence: high
Value written: 0
Notes: Grouped from EDGAR: Treasury Stock Value.</t>
        </r>
      </text>
    </comment>
    <comment ref="N152" authorId="0">
      <text>
        <r>
          <rPr>
            <b/>
          </rPr>
          <t xml:space="preserve">EDGAR Mapper:
</t>
        </r>
        <r>
          <t xml:space="preserve">EDGAR mapping:
Source: SEC filing
Period: 4Q24
Model row: Model!152 Treasury Stock
Mapping type: grouped
Concepts used: TreasuryStockValue = 0 mm
Unit conversion: raw USD to $mm
Sign: copied using model sign convention
Confidence: high
Value written: 0
Notes: Grouped from EDGAR: Treasury Stock Value.</t>
        </r>
      </text>
    </comment>
    <comment ref="P152" authorId="0">
      <text>
        <r>
          <rPr>
            <b/>
          </rPr>
          <t xml:space="preserve">EDGAR Mapper:
</t>
        </r>
        <r>
          <t xml:space="preserve">EDGAR mapping:
Source: SEC filing
Period: 1Q25
Model row: Model!152 Treasury Stock
Mapping type: grouped
Concepts used: TreasuryStockValue = 0 mm
Unit conversion: raw USD to $mm
Sign: copied using model sign convention
Confidence: high
Value written: 0
Notes: Grouped from EDGAR: Treasury Stock Value.</t>
        </r>
      </text>
    </comment>
    <comment ref="Q152" authorId="0">
      <text>
        <r>
          <rPr>
            <b/>
          </rPr>
          <t xml:space="preserve">EDGAR Mapper:
</t>
        </r>
        <r>
          <t xml:space="preserve">EDGAR mapping:
Source: SEC filing
Period: 2Q25
Model row: Model!152 Treasury Stock
Mapping type: grouped
Concepts used: TreasuryStockValue = 0 mm
Unit conversion: raw USD to $mm
Sign: copied using model sign convention
Confidence: high
Value written: 0
Notes: Grouped from EDGAR: Treasury Stock Value.</t>
        </r>
      </text>
    </comment>
    <comment ref="R152" authorId="0">
      <text>
        <r>
          <rPr>
            <b/>
          </rPr>
          <t xml:space="preserve">EDGAR Mapper:
</t>
        </r>
        <r>
          <t xml:space="preserve">EDGAR mapping:
Source: SEC filing
Period: 3Q25
Model row: Model!152 Treasury Stock
Mapping type: grouped
Concepts used: TreasuryStockValue = 0 mm
Unit conversion: raw USD to $mm
Sign: copied using model sign convention
Confidence: high
Value written: 0
Notes: Grouped from EDGAR: Treasury Stock Value.</t>
        </r>
      </text>
    </comment>
    <comment ref="S152" authorId="0">
      <text>
        <r>
          <rPr>
            <b/>
          </rPr>
          <t xml:space="preserve">EDGAR Mapper:
</t>
        </r>
        <r>
          <t xml:space="preserve">EDGAR mapping:
Source: SEC filing
Period: 4Q25
Model row: Model!152 Treasury Stock
Mapping type: grouped
Concepts used: TreasuryStockValue = 0 mm
Unit conversion: raw USD to $mm
Sign: copied using model sign convention
Confidence: high
Value written: 0
Notes: Grouped from EDGAR: Treasury Stock Value.</t>
        </r>
      </text>
    </comment>
    <comment ref="C153" authorId="0">
      <text>
        <r>
          <rPr>
            <color theme="1"/>
            <family val="2"/>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3" authorId="0">
      <text>
        <r>
          <rPr>
            <b/>
          </rPr>
          <t xml:space="preserve">EDGAR Mapper:
</t>
        </r>
        <r>
          <t xml:space="preserve">EDGAR mapping:
Source: 10-Q, accession #0001060391-23-000013, filed 2023-04-28
Period: 1Q23 / period ended 2023-03-31
Model row: Model!153 Accumulated Other Comprehensive Income (AOCI)
Mapping type: direct
Concepts used: AccumulatedOtherComprehensiveIncomeLossNetOfTax = -9.3 mm
Unit conversion: raw USD to $mm
Sign: copied using model sign convention
Confidence: high
Value written: -9.3</t>
        </r>
      </text>
    </comment>
    <comment ref="G153" authorId="0">
      <text>
        <r>
          <rPr>
            <b/>
          </rPr>
          <t xml:space="preserve">EDGAR Mapper:
</t>
        </r>
        <r>
          <t xml:space="preserve">EDGAR mapping:
Source: 10-Q, accession #0001060391-23-000019, filed 2023-08-01
Period: 2Q23 / period ended 2023-06-30
Model row: Model!153 Accumulated Other Comprehensive Income (AOCI)
Mapping type: direct
Concepts used: AccumulatedOtherComprehensiveIncomeLossNetOfTax = -6.7 mm
Unit conversion: raw USD to $mm
Sign: copied using model sign convention
Confidence: high
Value written: -6.7</t>
        </r>
      </text>
    </comment>
    <comment ref="H153" authorId="0">
      <text>
        <r>
          <rPr>
            <b/>
          </rPr>
          <t xml:space="preserve">EDGAR Mapper:
</t>
        </r>
        <r>
          <t xml:space="preserve">EDGAR mapping:
Source: 10-Q, accession #0001060391-23-000025, filed 2023-10-27
Period: 3Q23 / period ended 2023-09-30
Model row: Model!153 Accumulated Other Comprehensive Income (AOCI)
Mapping type: direct
Concepts used: AccumulatedOtherComprehensiveIncomeLossNetOfTax = -2.5 mm
Unit conversion: raw USD to $mm
Sign: copied using model sign convention
Confidence: high
Value written: -2.5</t>
        </r>
      </text>
    </comment>
    <comment ref="I153" authorId="0">
      <text>
        <r>
          <rPr>
            <b/>
          </rPr>
          <t xml:space="preserve">EDGAR Mapper:
</t>
        </r>
        <r>
          <t xml:space="preserve">EDGAR mapping:
Source: 10-K, accession #0001060391-25-000091, filed 2025-02-14
Period: 4Q23 / period ended 2023-12-31
Model row: Model!153 Accumulated Other Comprehensive Income (AOCI)
Mapping type: direct
Concepts used: AccumulatedOtherComprehensiveIncomeLossNetOfTax = -12 mm
Unit conversion: raw USD to $mm
Sign: copied using model sign convention
Confidence: high
Value written: -12</t>
        </r>
      </text>
    </comment>
    <comment ref="K153" authorId="0">
      <text>
        <r>
          <rPr>
            <b/>
          </rPr>
          <t xml:space="preserve">EDGAR Mapper:
</t>
        </r>
        <r>
          <t xml:space="preserve">EDGAR mapping:
Source: 10-Q, accession #0001060391-24-000205, filed 2024-05-01
Period: 1Q24 / period ended 2024-03-31
Model row: Model!153 Accumulated Other Comprehensive Income (AOCI)
Mapping type: direct
Concepts used: AccumulatedOtherComprehensiveIncomeLossNetOfTax = -5.3 mm
Unit conversion: raw USD to $mm
Sign: copied using model sign convention
Confidence: high
Value written: -5.3</t>
        </r>
      </text>
    </comment>
    <comment ref="L153" authorId="0">
      <text>
        <r>
          <rPr>
            <b/>
          </rPr>
          <t xml:space="preserve">EDGAR Mapper:
</t>
        </r>
        <r>
          <t xml:space="preserve">EDGAR mapping:
Source: 10-Q, accession #0001060391-24-000273, filed 2024-07-25
Period: 2Q24 / period ended 2024-06-30
Model row: Model!153 Accumulated Other Comprehensive Income (AOCI)
Mapping type: direct
Concepts used: AccumulatedOtherComprehensiveIncomeLossNetOfTax = -9.1 mm
Unit conversion: raw USD to $mm
Sign: copied using model sign convention
Confidence: high
Value written: -9.1</t>
        </r>
      </text>
    </comment>
    <comment ref="M153" authorId="0">
      <text>
        <r>
          <rPr>
            <b/>
          </rPr>
          <t xml:space="preserve">EDGAR Mapper:
</t>
        </r>
        <r>
          <t xml:space="preserve">EDGAR mapping:
Source: 10-Q, accession #0001060391-24-000324, filed 2024-10-30
Period: 3Q24 / period ended 2024-09-30
Model row: Model!153 Accumulated Other Comprehensive Income (AOCI)
Mapping type: direct
Concepts used: AccumulatedOtherComprehensiveIncomeLossNetOfTax = -18.6 mm
Unit conversion: raw USD to $mm
Sign: copied using model sign convention
Confidence: high
Value written: -18.6</t>
        </r>
      </text>
    </comment>
    <comment ref="N153" authorId="0">
      <text>
        <r>
          <rPr>
            <b/>
          </rPr>
          <t xml:space="preserve">EDGAR Mapper:
</t>
        </r>
        <r>
          <t xml:space="preserve">EDGAR mapping:
Source: 10-K, accession #0001060391-26-000094, filed 2026-02-18
Period: 4Q24 / period ended 2024-12-31
Model row: Model!153 Accumulated Other Comprehensive Income (AOCI)
Mapping type: direct
Concepts used: AccumulatedOtherComprehensiveIncomeLossNetOfTax = -26 mm
Unit conversion: raw USD to $mm
Sign: copied using model sign convention
Confidence: high
Value written: -26</t>
        </r>
      </text>
    </comment>
    <comment ref="P153" authorId="0">
      <text>
        <r>
          <rPr>
            <b/>
          </rPr>
          <t xml:space="preserve">EDGAR Mapper:
</t>
        </r>
        <r>
          <t xml:space="preserve">EDGAR mapping:
Source: 10-Q, accession #0001060391-25-000170, filed 2025-04-25
Period: 1Q25 / period ended 2025-03-31
Model row: Model!153 Accumulated Other Comprehensive Income (AOCI)
Mapping type: direct
Concepts used: AccumulatedOtherComprehensiveIncomeLossNetOfTax = -31 mm
Unit conversion: raw USD to $mm
Sign: copied using model sign convention
Confidence: high
Value written: -31</t>
        </r>
      </text>
    </comment>
    <comment ref="Q153" authorId="0">
      <text>
        <r>
          <rPr>
            <b/>
          </rPr>
          <t xml:space="preserve">EDGAR Mapper:
</t>
        </r>
        <r>
          <t xml:space="preserve">EDGAR mapping:
Source: 10-Q, accession #0001060391-25-000216, filed 2025-07-30
Period: 2Q25 / period ended 2025-06-30
Model row: Model!153 Accumulated Other Comprehensive Income (AOCI)
Mapping type: direct
Concepts used: AccumulatedOtherComprehensiveIncomeLossNetOfTax = -28 mm
Unit conversion: raw USD to $mm
Sign: copied using model sign convention
Confidence: high
Value written: -28</t>
        </r>
      </text>
    </comment>
    <comment ref="R153" authorId="0">
      <text>
        <r>
          <rPr>
            <b/>
          </rPr>
          <t xml:space="preserve">EDGAR Mapper:
</t>
        </r>
        <r>
          <t xml:space="preserve">EDGAR mapping:
Source: 10-Q, accession #0001628280-25-047655, filed 2025-10-31
Period: 3Q25 / period ended 2025-09-30
Model row: Model!153 Accumulated Other Comprehensive Income (AOCI)
Mapping type: direct
Concepts used: AccumulatedOtherComprehensiveIncomeLossNetOfTax = -31 mm
Unit conversion: raw USD to $mm
Sign: copied using model sign convention
Confidence: high
Value written: -31</t>
        </r>
      </text>
    </comment>
    <comment ref="S153" authorId="0">
      <text>
        <r>
          <rPr>
            <b/>
          </rPr>
          <t xml:space="preserve">EDGAR Mapper:
</t>
        </r>
        <r>
          <t xml:space="preserve">EDGAR mapping:
Source: 10-K, accession #0001060391-26-000094, filed 2026-02-18
Period: 4Q25 / period ended 2025-12-31
Model row: Model!153 Accumulated Other Comprehensive Income (AOCI)
Mapping type: direct
Concepts used: AccumulatedOtherComprehensiveIncomeLossNetOfTax = -29 mm
Unit conversion: raw USD to $mm
Sign: copied using model sign convention
Confidence: high
Value written: -29</t>
        </r>
      </text>
    </comment>
    <comment ref="F156" authorId="0">
      <text>
        <r>
          <rPr>
            <b/>
          </rPr>
          <t xml:space="preserve">EDGAR Mapper:
</t>
        </r>
        <r>
          <t xml:space="preserve">EDGAR mapping:
Source: 10-Q, accession #0001060391-23-000013, filed 2023-04-28
Period: 1Q23 / period ended 2023-03-31
Model row: Model!156 Noncontrolling Interests
Mapping type: direct
Concepts used: MinorityInterest = 0.8 mm
Unit conversion: raw USD to $mm
Sign: copied using model sign convention
Confidence: high
Value written: 0.8</t>
        </r>
      </text>
    </comment>
    <comment ref="G156" authorId="0">
      <text>
        <r>
          <rPr>
            <b/>
          </rPr>
          <t xml:space="preserve">EDGAR Mapper:
</t>
        </r>
        <r>
          <t xml:space="preserve">EDGAR mapping:
Source: 10-Q, accession #0001060391-23-000019, filed 2023-08-01
Period: 2Q23 / period ended 2023-06-30
Model row: Model!156 Noncontrolling Interests
Mapping type: direct
Concepts used: MinorityInterest = 1 mm
Unit conversion: raw USD to $mm
Sign: copied using model sign convention
Confidence: high
Value written: 1</t>
        </r>
      </text>
    </comment>
    <comment ref="H156" authorId="0">
      <text>
        <r>
          <rPr>
            <b/>
          </rPr>
          <t xml:space="preserve">EDGAR Mapper:
</t>
        </r>
        <r>
          <t xml:space="preserve">EDGAR mapping:
Source: 10-Q, accession #0001060391-23-000025, filed 2023-10-27
Period: 3Q23 / period ended 2023-09-30
Model row: Model!156 Noncontrolling Interests
Mapping type: direct
Concepts used: MinorityInterest = 1.1 mm
Unit conversion: raw USD to $mm
Sign: copied using model sign convention
Confidence: high
Value written: 1.1</t>
        </r>
      </text>
    </comment>
    <comment ref="I156" authorId="0">
      <text>
        <r>
          <rPr>
            <b/>
          </rPr>
          <t xml:space="preserve">EDGAR Mapper:
</t>
        </r>
        <r>
          <t xml:space="preserve">EDGAR mapping:
Source: 10-K, accession #0001060391-25-000091, filed 2025-02-14
Period: 4Q23 / period ended 2023-12-31
Model row: Model!156 Noncontrolling Interests
Mapping type: direct
Concepts used: MinorityInterest = 1 mm
Unit conversion: raw USD to $mm
Sign: copied using model sign convention
Confidence: high
Value written: 1</t>
        </r>
      </text>
    </comment>
    <comment ref="K156" authorId="0">
      <text>
        <r>
          <rPr>
            <b/>
          </rPr>
          <t xml:space="preserve">EDGAR Mapper:
</t>
        </r>
        <r>
          <t xml:space="preserve">EDGAR mapping:
Source: 10-Q, accession #0001060391-24-000205, filed 2024-05-01
Period: 1Q24 / period ended 2024-03-31
Model row: Model!156 Noncontrolling Interests
Mapping type: direct
Concepts used: MinorityInterest = 0.8 mm
Unit conversion: raw USD to $mm
Sign: copied using model sign convention
Confidence: high
Value written: 0.8</t>
        </r>
      </text>
    </comment>
    <comment ref="L156" authorId="0">
      <text>
        <r>
          <rPr>
            <b/>
          </rPr>
          <t xml:space="preserve">EDGAR Mapper:
</t>
        </r>
        <r>
          <t xml:space="preserve">EDGAR mapping:
Source: 10-Q, accession #0001060391-24-000273, filed 2024-07-25
Period: 2Q24 / period ended 2024-06-30
Model row: Model!156 Noncontrolling Interests
Mapping type: direct
Concepts used: MinorityInterest = 1.2 mm
Unit conversion: raw USD to $mm
Sign: copied using model sign convention
Confidence: high
Value written: 1.2</t>
        </r>
      </text>
    </comment>
    <comment ref="M156" authorId="0">
      <text>
        <r>
          <rPr>
            <b/>
          </rPr>
          <t xml:space="preserve">EDGAR Mapper:
</t>
        </r>
        <r>
          <t xml:space="preserve">EDGAR mapping:
Source: 10-Q, accession #0001060391-24-000324, filed 2024-10-30
Period: 3Q24 / period ended 2024-09-30
Model row: Model!156 Noncontrolling Interests
Mapping type: direct
Concepts used: MinorityInterest = 1.4 mm
Unit conversion: raw USD to $mm
Sign: copied using model sign convention
Confidence: high
Value written: 1.4</t>
        </r>
      </text>
    </comment>
    <comment ref="N156" authorId="0">
      <text>
        <r>
          <rPr>
            <b/>
          </rPr>
          <t xml:space="preserve">EDGAR Mapper:
</t>
        </r>
        <r>
          <t xml:space="preserve">EDGAR mapping:
Source: 10-K, accession #0001060391-26-000094, filed 2026-02-18
Period: 4Q24 / period ended 2024-12-31
Model row: Model!156 Noncontrolling Interests
Mapping type: direct
Concepts used: MinorityInterest = 2 mm
Unit conversion: raw USD to $mm
Sign: copied using model sign convention
Confidence: high
Value written: 2</t>
        </r>
      </text>
    </comment>
    <comment ref="P156" authorId="0">
      <text>
        <r>
          <rPr>
            <b/>
          </rPr>
          <t xml:space="preserve">EDGAR Mapper:
</t>
        </r>
        <r>
          <t xml:space="preserve">EDGAR mapping:
Source: 10-Q, accession #0001060391-25-000170, filed 2025-04-25
Period: 1Q25 / period ended 2025-03-31
Model row: Model!156 Noncontrolling Interests
Mapping type: direct
Concepts used: MinorityInterest = 2 mm
Unit conversion: raw USD to $mm
Sign: copied using model sign convention
Confidence: high
Value written: 2</t>
        </r>
      </text>
    </comment>
    <comment ref="Q156" authorId="0">
      <text>
        <r>
          <rPr>
            <b/>
          </rPr>
          <t xml:space="preserve">EDGAR Mapper:
</t>
        </r>
        <r>
          <t xml:space="preserve">EDGAR mapping:
Source: 10-Q, accession #0001060391-25-000216, filed 2025-07-30
Period: 2Q25 / period ended 2025-06-30
Model row: Model!156 Noncontrolling Interests
Mapping type: direct
Concepts used: MinorityInterest = 2 mm
Unit conversion: raw USD to $mm
Sign: copied using model sign convention
Confidence: high
Value written: 2</t>
        </r>
      </text>
    </comment>
    <comment ref="R156" authorId="0">
      <text>
        <r>
          <rPr>
            <b/>
          </rPr>
          <t xml:space="preserve">EDGAR Mapper:
</t>
        </r>
        <r>
          <t xml:space="preserve">EDGAR mapping:
Source: 10-Q, accession #0001628280-25-047655, filed 2025-10-31
Period: 3Q25 / period ended 2025-09-30
Model row: Model!156 Noncontrolling Interests
Mapping type: direct
Concepts used: MinorityInterest = 1 mm
Unit conversion: raw USD to $mm
Sign: copied using model sign convention
Confidence: high
Value written: 1</t>
        </r>
      </text>
    </comment>
    <comment ref="S156" authorId="0">
      <text>
        <r>
          <rPr>
            <b/>
          </rPr>
          <t xml:space="preserve">EDGAR Mapper:
</t>
        </r>
        <r>
          <t xml:space="preserve">EDGAR mapping:
Source: 10-K, accession #0001060391-26-000094, filed 2026-02-18
Period: 4Q25 / period ended 2025-12-31
Model row: Model!156 Noncontrolling Interests
Mapping type: direct
Concepts used: MinorityInterest = 1 mm
Unit conversion: raw USD to $mm
Sign: copied using model sign convention
Confidence: high
Value written: 1</t>
        </r>
      </text>
    </comment>
    <comment ref="C161" authorId="0">
      <text>
        <r>
          <rPr>
            <color theme="1"/>
            <family val="2"/>
            <scheme val="minor"/>
            <sz val="11"/>
            <rFont val="Calibri"/>
          </rPr>
          <t xml:space="preserve">======
ID#AAABbnJBV2I
Luke Brennan    (2025-01-14 21:09:38)
"Check" means everything is good
Positive number means the BS is asset-heavy
Negative number means the BS is asset-light</t>
        </r>
      </text>
    </comment>
    <comment ref="C196" authorId="0">
      <text>
        <r>
          <rPr>
            <b/>
          </rPr>
          <t xml:space="preserve">EDGAR Mapper:
</t>
        </r>
        <r>
          <t>Needs review: PP&amp;E schedule capex is a roll-forward input and was not overwritten with generic cash-flow capex.</t>
        </r>
      </text>
    </comment>
    <comment ref="C197" authorId="0">
      <text>
        <r>
          <rPr>
            <b/>
          </rPr>
          <t xml:space="preserve">EDGAR Mapper:
</t>
        </r>
        <r>
          <t>Cannot find exact PP&amp;E schedule depreciation expense in EDGAR, find manually.</t>
        </r>
      </text>
    </comment>
    <comment ref="C198" authorId="0">
      <text>
        <r>
          <rPr>
            <b/>
          </rPr>
          <t xml:space="preserve">EDGAR Mapper:
</t>
        </r>
        <r>
          <t xml:space="preserve">yash chinn:
strategic investments-strategic diverstitutures
EDGAR Mapper:
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1" authorId="0">
      <text>
        <r>
          <rPr>
            <b/>
          </rPr>
          <t xml:space="preserve">EDGAR Mapper:
</t>
        </r>
        <r>
          <t>Quarterly value was derived from Amortization of Intangible Assets less 1Q23. Quarterly value was derived from Amortization of Intangible Assets less 1Q23, 2Q23. Quarterly value was derived from Amortization of Intangible Assets less 1Q23, 2Q23, 3Q23. Quarterly value was derived from Amortization of Intangible Assets less 1Q24. Quarterly value was derived from Amortization of Intangible Assets less 1Q24, 2Q24. Quarterly value was derived from Amortization of Intangible Assets less 1Q24, 2Q24, 3Q24. Quarterly value was derived from Amortization of Intangible Assets less 1Q25. Quarterly value was derived from Amortization of Intangible Assets less 1Q25, 2Q25. Quarterly value was derived from Amortization of Intangible Assets less 1Q25, 2Q25, 3Q25.</t>
        </r>
      </text>
    </comment>
    <comment ref="F211" authorId="0">
      <text>
        <r>
          <rPr>
            <b/>
          </rPr>
          <t xml:space="preserve">EDGAR Mapper:
</t>
        </r>
        <r>
          <t xml:space="preserve">EDGAR mapping:
Source: 10-Q, accession #0001060391-23-000013, filed 2023-04-28
Period: 1Q23 / period ended 2023-03-31
Model row: Model!211 Amortization Expense
Mapping type: direct
Concepts used: AmortizationOfIntangibleAssets = 15.1 mm
Unit conversion: raw USD to $mm
Sign: inverted because model expects this row as negative
Confidence: high
Value written: -15.1</t>
        </r>
      </text>
    </comment>
    <comment ref="G211" authorId="0">
      <text>
        <r>
          <rPr>
            <b/>
          </rPr>
          <t xml:space="preserve">EDGAR Mapper:
</t>
        </r>
        <r>
          <t xml:space="preserve">EDGAR mapping:
Source: 10-Q, accession #0001060391-23-000019, filed 2023-08-01
Period: 2Q23 / period ended 2023-06-30
Model row: Model!211 Amortization Expense
Mapping type: direct
Concepts used: AmortizationOfIntangibleAssets = 15 mm
Unit conversion: raw USD to $mm
Sign: inverted because model expects this row as negative
Confidence: high
Value written: -15
Notes: Quarterly value was derived from Amortization of Intangible Assets less 1Q23.</t>
        </r>
      </text>
    </comment>
    <comment ref="H211" authorId="0">
      <text>
        <r>
          <rPr>
            <b/>
          </rPr>
          <t xml:space="preserve">EDGAR Mapper:
</t>
        </r>
        <r>
          <t xml:space="preserve">EDGAR mapping:
Source: 10-Q, accession #0001060391-23-000025, filed 2023-10-27
Period: 3Q23 / period ended 2023-09-30
Model row: Model!211 Amortization Expense
Mapping type: direct
Concepts used: AmortizationOfIntangibleAssets = 17.3 mm
Unit conversion: raw USD to $mm
Sign: inverted because model expects this row as negative
Confidence: high
Value written: -17.3
Notes: Quarterly value was derived from Amortization of Intangible Assets less 1Q23, 2Q23.</t>
        </r>
      </text>
    </comment>
    <comment ref="I211" authorId="0">
      <text>
        <r>
          <rPr>
            <b/>
          </rPr>
          <t xml:space="preserve">EDGAR Mapper:
</t>
        </r>
        <r>
          <t xml:space="preserve">EDGAR mapping:
Source: SEC filing
Period: 4Q23
Model row: Model!211 Amortization Expense
Mapping type: direct
Concepts used: AmortizationOfIntangibleAssets = 18.6 mm
Unit conversion: raw USD to $mm
Sign: inverted because model expects this row as negative
Confidence: high
Value written: -18.6
Notes: Quarterly value was derived from Amortization of Intangible Assets less 1Q23, 2Q23, 3Q23.</t>
        </r>
      </text>
    </comment>
    <comment ref="K211" authorId="0">
      <text>
        <r>
          <rPr>
            <b/>
          </rPr>
          <t xml:space="preserve">EDGAR Mapper:
</t>
        </r>
        <r>
          <t xml:space="preserve">EDGAR mapping:
Source: 10-Q, accession #0001060391-24-000205, filed 2024-05-01
Period: 1Q24 / period ended 2024-03-31
Model row: Model!211 Amortization Expense
Mapping type: direct
Concepts used: AmortizationOfIntangibleAssets = 17.8 mm
Unit conversion: raw USD to $mm
Sign: inverted because model expects this row as negative
Confidence: high
Value written: -17.8</t>
        </r>
      </text>
    </comment>
    <comment ref="L211" authorId="0">
      <text>
        <r>
          <rPr>
            <b/>
          </rPr>
          <t xml:space="preserve">EDGAR Mapper:
</t>
        </r>
        <r>
          <t xml:space="preserve">EDGAR mapping:
Source: 10-Q, accession #0001060391-24-000273, filed 2024-07-25
Period: 2Q24 / period ended 2024-06-30
Model row: Model!211 Amortization Expense
Mapping type: direct
Concepts used: AmortizationOfIntangibleAssets = 18.7 mm
Unit conversion: raw USD to $mm
Sign: inverted because model expects this row as negative
Confidence: high
Value written: -18.7
Notes: Quarterly value was derived from Amortization of Intangible Assets less 1Q24.</t>
        </r>
      </text>
    </comment>
    <comment ref="M211" authorId="0">
      <text>
        <r>
          <rPr>
            <b/>
          </rPr>
          <t xml:space="preserve">EDGAR Mapper:
</t>
        </r>
        <r>
          <t xml:space="preserve">EDGAR mapping:
Source: 10-Q, accession #0001060391-24-000324, filed 2024-10-30
Period: 3Q24 / period ended 2024-09-30
Model row: Model!211 Amortization Expense
Mapping type: direct
Concepts used: AmortizationOfIntangibleAssets = 17.8 mm
Unit conversion: raw USD to $mm
Sign: inverted because model expects this row as negative
Confidence: high
Value written: -17.8
Notes: Quarterly value was derived from Amortization of Intangible Assets less 1Q24, 2Q24.</t>
        </r>
      </text>
    </comment>
    <comment ref="N211" authorId="0">
      <text>
        <r>
          <rPr>
            <b/>
          </rPr>
          <t xml:space="preserve">EDGAR Mapper:
</t>
        </r>
        <r>
          <t xml:space="preserve">EDGAR mapping:
Source: SEC filing
Period: 4Q24
Model row: Model!211 Amortization Expense
Mapping type: direct
Concepts used: AmortizationOfIntangibleAssets = 24.7 mm
Unit conversion: raw USD to $mm
Sign: inverted because model expects this row as negative
Confidence: high
Value written: -24.7
Notes: Quarterly value was derived from Amortization of Intangible Assets less 1Q24, 2Q24, 3Q24.</t>
        </r>
      </text>
    </comment>
    <comment ref="P211" authorId="0">
      <text>
        <r>
          <rPr>
            <b/>
          </rPr>
          <t xml:space="preserve">EDGAR Mapper:
</t>
        </r>
        <r>
          <t xml:space="preserve">EDGAR mapping:
Source: 10-Q, accession #0001060391-25-000170, filed 2025-04-25
Period: 1Q25 / period ended 2025-03-31
Model row: Model!211 Amortization Expense
Mapping type: direct
Concepts used: AmortizationOfIntangibleAssets = 21 mm
Unit conversion: raw USD to $mm
Sign: inverted because model expects this row as negative
Confidence: high
Value written: -21</t>
        </r>
      </text>
    </comment>
    <comment ref="Q211" authorId="0">
      <text>
        <r>
          <rPr>
            <b/>
          </rPr>
          <t xml:space="preserve">EDGAR Mapper:
</t>
        </r>
        <r>
          <t xml:space="preserve">EDGAR mapping:
Source: 10-Q, accession #0001060391-25-000216, filed 2025-07-30
Period: 2Q25 / period ended 2025-06-30
Model row: Model!211 Amortization Expense
Mapping type: direct
Concepts used: AmortizationOfIntangibleAssets = 22 mm
Unit conversion: raw USD to $mm
Sign: inverted because model expects this row as negative
Confidence: high
Value written: -22
Notes: Quarterly value was derived from Amortization of Intangible Assets less 1Q25.</t>
        </r>
      </text>
    </comment>
    <comment ref="R211" authorId="0">
      <text>
        <r>
          <rPr>
            <b/>
          </rPr>
          <t xml:space="preserve">EDGAR Mapper:
</t>
        </r>
        <r>
          <t xml:space="preserve">EDGAR mapping:
Source: 10-Q, accession #0001628280-25-047655, filed 2025-10-31
Period: 3Q25 / period ended 2025-09-30
Model row: Model!211 Amortization Expense
Mapping type: direct
Concepts used: AmortizationOfIntangibleAssets = 22 mm
Unit conversion: raw USD to $mm
Sign: inverted because model expects this row as negative
Confidence: high
Value written: -22
Notes: Quarterly value was derived from Amortization of Intangible Assets less 1Q25, 2Q25.</t>
        </r>
      </text>
    </comment>
    <comment ref="S211" authorId="0">
      <text>
        <r>
          <rPr>
            <b/>
          </rPr>
          <t xml:space="preserve">EDGAR Mapper:
</t>
        </r>
        <r>
          <t xml:space="preserve">EDGAR mapping:
Source: SEC filing
Period: 4Q25
Model row: Model!211 Amortization Expense
Mapping type: direct
Concepts used: AmortizationOfIntangibleAssets = 24 mm
Unit conversion: raw USD to $mm
Sign: inverted because model expects this row as negative
Confidence: high
Value written: -24
Notes: Quarterly value was derived from Amortization of Intangible Assets less 1Q25, 2Q25, 3Q25.</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Cannot find in EDGAR, find manually.</t>
        </r>
      </text>
    </comment>
    <comment ref="F244" authorId="0">
      <text>
        <r>
          <rPr>
            <b/>
          </rPr>
          <t xml:space="preserve">EDGAR Mapper:
</t>
        </r>
        <r>
          <t xml:space="preserve">EDGAR mapping:
Source: 10-Q, accession #0001060391-23-000013, filed 2023-04-28
Period: 1Q23 / period ended 2023-03-31
Model row: Model!244 Shares Repurchased ($ Amount)
Mapping type: direct
Concepts used: PaymentsForRepurchaseOfCommonStock = 0 mm
Unit conversion: raw USD to $mm
Sign: inverted because model expects this row as negative
Confidence: high
Value written: 0</t>
        </r>
      </text>
    </comment>
    <comment ref="G244" authorId="0">
      <text>
        <r>
          <rPr>
            <b/>
          </rPr>
          <t xml:space="preserve">EDGAR Mapper:
</t>
        </r>
        <r>
          <t xml:space="preserve">EDGAR mapping:
Source: 10-Q, accession #0001060391-24-000273, filed 2024-07-25
Period: 2Q23 / period ended 2023-06-30
Model row: Model!244 Shares Repurchased ($ Amount)
Mapping type: direct
Concepts used: PaymentsForRepurchaseOfCommonStock = 0 mm
Unit conversion: raw USD to $mm
Sign: inverted because model expects this row as negative
Confidence: high
Value written: 0
Notes: Mapped to EDGAR common stock repurchases; sign follows the model row context. Quarterly value was derived from Payments for Repurchase of Common Stock less 1Q23.</t>
        </r>
      </text>
    </comment>
    <comment ref="H244" authorId="0">
      <text>
        <r>
          <rPr>
            <b/>
          </rPr>
          <t xml:space="preserve">EDGAR Mapper:
</t>
        </r>
        <r>
          <t xml:space="preserve">EDGAR mapping:
Source: 10-Q, accession #0001060391-24-000324, filed 2024-10-30
Period: 3Q23 / period ended 2023-09-30
Model row: Model!244 Shares Repurchased ($ Amount)
Mapping type: direct
Concepts used: PaymentsForRepurchaseOfCommonStock = 190.4 mm
Unit conversion: raw USD to $mm
Sign: inverted because model expects this row as negative
Confidence: high
Value written: -190.4
Notes: Mapped to EDGAR common stock repurchases; sign follows the model row context. Quarterly value was derived from Payments for Repurchase of Common Stock less 1Q23, 2Q23.</t>
        </r>
      </text>
    </comment>
    <comment ref="I244" authorId="0">
      <text>
        <r>
          <rPr>
            <b/>
          </rPr>
          <t xml:space="preserve">EDGAR Mapper:
</t>
        </r>
        <r>
          <t xml:space="preserve">EDGAR mapping:
Source: SEC filing
Period: 4Q23
Model row: Model!244 Shares Repurchased ($ Amount)
Mapping type: direct
Concepts used: PaymentsForRepurchaseOfCommonStock = 71.6 mm
Unit conversion: raw USD to $mm
Sign: inverted because model expects this row as negative
Confidence: high
Value written: -71.6
Notes: Mapped to EDGAR common stock repurchases; sign follows the model row context. Quarterly value was derived from Payments for Repurchase of Common Stock less 1Q23, 2Q23, 3Q23.</t>
        </r>
      </text>
    </comment>
    <comment ref="K244" authorId="0">
      <text>
        <r>
          <rPr>
            <b/>
          </rPr>
          <t xml:space="preserve">EDGAR Mapper:
</t>
        </r>
        <r>
          <t xml:space="preserve">EDGAR mapping:
Source: 10-Q, accession #0001060391-25-000170, filed 2025-04-25
Period: 1Q24 / period ended 2024-03-31
Model row: Model!244 Shares Repurchased ($ Amount)
Mapping type: direct
Concepts used: PaymentsForRepurchaseOfCommonStock = 0 mm
Unit conversion: raw USD to $mm
Sign: inverted because model expects this row as negative
Confidence: high
Value written: 0</t>
        </r>
      </text>
    </comment>
    <comment ref="L244" authorId="0">
      <text>
        <r>
          <rPr>
            <b/>
          </rPr>
          <t xml:space="preserve">EDGAR Mapper:
</t>
        </r>
        <r>
          <t xml:space="preserve">EDGAR mapping:
Source: 10-Q, accession #0001060391-25-000216, filed 2025-07-30
Period: 2Q24 / period ended 2024-06-30
Model row: Model!244 Shares Repurchased ($ Amount)
Mapping type: direct
Concepts used: PaymentsForRepurchaseOfCommonStock = 168 mm
Unit conversion: raw USD to $mm
Sign: inverted because model expects this row as negative
Confidence: high
Value written: -168
Notes: Mapped to EDGAR common stock repurchases; sign follows the model row context. Quarterly value was derived from Payments for Repurchase of Common Stock less 1Q24.</t>
        </r>
      </text>
    </comment>
    <comment ref="M244" authorId="0">
      <text>
        <r>
          <rPr>
            <b/>
          </rPr>
          <t xml:space="preserve">EDGAR Mapper:
</t>
        </r>
        <r>
          <t xml:space="preserve">EDGAR mapping:
Source: 10-Q, accession #0001628280-25-047655, filed 2025-10-31
Period: 3Q24 / period ended 2024-09-30
Model row: Model!244 Shares Repurchased ($ Amount)
Mapping type: direct
Concepts used: PaymentsForRepurchaseOfCommonStock = 153 mm
Unit conversion: raw USD to $mm
Sign: inverted because model expects this row as negative
Confidence: high
Value written: -153
Notes: Mapped to EDGAR common stock repurchases; sign follows the model row context. Quarterly value was derived from Payments for Repurchase of Common Stock less 1Q24, 2Q24.</t>
        </r>
      </text>
    </comment>
    <comment ref="N244" authorId="0">
      <text>
        <r>
          <rPr>
            <b/>
          </rPr>
          <t xml:space="preserve">EDGAR Mapper:
</t>
        </r>
        <r>
          <t xml:space="preserve">EDGAR mapping:
Source: SEC filing
Period: 4Q24
Model row: Model!244 Shares Repurchased ($ Amount)
Mapping type: direct
Concepts used: PaymentsForRepurchaseOfCommonStock = 161 mm
Unit conversion: raw USD to $mm
Sign: inverted because model expects this row as negative
Confidence: high
Value written: -161
Notes: Mapped to EDGAR common stock repurchases; sign follows the model row context. Quarterly value was derived from Payments for Repurchase of Common Stock less 1Q24, 2Q24, 3Q24.</t>
        </r>
      </text>
    </comment>
    <comment ref="P244" authorId="0">
      <text>
        <r>
          <rPr>
            <b/>
          </rPr>
          <t xml:space="preserve">EDGAR Mapper:
</t>
        </r>
        <r>
          <t xml:space="preserve">EDGAR mapping:
Source: 10-Q, accession #0001060391-26-000212, filed 2026-05-08
Period: 1Q25 / period ended 2025-03-31
Model row: Model!244 Shares Repurchased ($ Amount)
Mapping type: direct
Concepts used: PaymentsForRepurchaseOfCommonStock = 55 mm
Unit conversion: raw USD to $mm
Sign: inverted because model expects this row as negative
Confidence: high
Value written: -55</t>
        </r>
      </text>
    </comment>
    <comment ref="Q244" authorId="0">
      <text>
        <r>
          <rPr>
            <b/>
          </rPr>
          <t xml:space="preserve">EDGAR Mapper:
</t>
        </r>
        <r>
          <t xml:space="preserve">EDGAR mapping:
Source: 10-Q, accession #0001060391-25-000216, filed 2025-07-30
Period: 2Q25 / period ended 2025-06-30
Model row: Model!244 Shares Repurchased ($ Amount)
Mapping type: direct
Concepts used: PaymentsForRepurchaseOfCommonStock = 4 mm
Unit conversion: raw USD to $mm
Sign: inverted because model expects this row as negative
Confidence: high
Value written: -4
Notes: Mapped to EDGAR common stock repurchases; sign follows the model row context. Quarterly value was derived from Payments for Repurchase of Common Stock less 1Q25.</t>
        </r>
      </text>
    </comment>
    <comment ref="R244" authorId="0">
      <text>
        <r>
          <rPr>
            <b/>
          </rPr>
          <t xml:space="preserve">EDGAR Mapper:
</t>
        </r>
        <r>
          <t xml:space="preserve">EDGAR mapping:
Source: 10-Q, accession #0001628280-25-047655, filed 2025-10-31
Period: 3Q25 / period ended 2025-09-30
Model row: Model!244 Shares Repurchased ($ Amount)
Mapping type: direct
Concepts used: PaymentsForRepurchaseOfCommonStock = 540 mm
Unit conversion: raw USD to $mm
Sign: inverted because model expects this row as negative
Confidence: high
Value written: -540
Notes: Mapped to EDGAR common stock repurchases; sign follows the model row context. Quarterly value was derived from Payments for Repurchase of Common Stock less 1Q25, 2Q25.</t>
        </r>
      </text>
    </comment>
    <comment ref="S244" authorId="0">
      <text>
        <r>
          <rPr>
            <b/>
          </rPr>
          <t xml:space="preserve">EDGAR Mapper:
</t>
        </r>
        <r>
          <t xml:space="preserve">EDGAR mapping:
Source: SEC filing
Period: 4Q25
Model row: Model!244 Shares Repurchased ($ Amount)
Mapping type: direct
Concepts used: PaymentsForRepurchaseOfCommonStock = 271 mm
Unit conversion: raw USD to $mm
Sign: inverted because model expects this row as negative
Confidence: high
Value written: -271
Notes: Mapped to EDGAR common stock repurchases; sign follows the model row context. Quarterly value was derived from Payments for Repurchase of Common Stock less 1Q25, 2Q25, 3Q25.</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Needs review: one or more historical periods were left unchanged because no matching EDGAR fact was found.</t>
        </r>
      </text>
    </comment>
    <comment ref="F249" authorId="0">
      <text>
        <r>
          <rPr>
            <b/>
          </rPr>
          <t xml:space="preserve">EDGAR Mapper:
</t>
        </r>
        <r>
          <t xml:space="preserve">EDGAR mapping:
Source: 10-Q, accession #0001060391-24-000205, filed 2024-05-01
Period: 1Q23 / period ended 2023-03-31
Model row: Model!249 Stock-Based Comp Expense
Mapping type: direct
Concepts used: ShareBasedCompensation = 11.6 mm
Unit conversion: raw USD to $mm
Sign: copied using model sign convention
Confidence: high
Value written: 11.6</t>
        </r>
      </text>
    </comment>
    <comment ref="G249" authorId="0">
      <text>
        <r>
          <rPr>
            <b/>
          </rPr>
          <t xml:space="preserve">EDGAR Mapper:
</t>
        </r>
        <r>
          <t xml:space="preserve">EDGAR mapping:
Source: 10-Q, accession #0001060391-24-000273, filed 2024-07-25
Period: 2Q23 / period ended 2023-06-30
Model row: Model!249 Stock-Based Comp Expense
Mapping type: direct
Concepts used: ShareBasedCompensation = 9.8 mm
Unit conversion: raw USD to $mm
Sign: copied using model sign convention
Confidence: high
Value written: 9.8
Notes: Quarterly value was derived from Share-based Payment Arrangement, Noncash Expense less 1Q23.</t>
        </r>
      </text>
    </comment>
    <comment ref="H249" authorId="0">
      <text>
        <r>
          <rPr>
            <b/>
          </rPr>
          <t xml:space="preserve">EDGAR Mapper:
</t>
        </r>
        <r>
          <t xml:space="preserve">EDGAR mapping:
Source: 10-Q, accession #0001060391-24-000324, filed 2024-10-30
Period: 3Q23 / period ended 2023-09-30
Model row: Model!249 Stock-Based Comp Expense
Mapping type: direct
Concepts used: ShareBasedCompensation = 10.3 mm
Unit conversion: raw USD to $mm
Sign: copied using model sign convention
Confidence: high
Value written: 10.3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9.3 mm
Unit conversion: raw USD to $mm
Sign: copied using model sign convention
Confidence: high
Value written: 9.3
Notes: Quarterly value was derived from Share-based Payment Arrangement, Noncash Expense less 1Q23, 2Q23, 3Q23.</t>
        </r>
      </text>
    </comment>
    <comment ref="K249" authorId="0">
      <text>
        <r>
          <rPr>
            <b/>
          </rPr>
          <t xml:space="preserve">EDGAR Mapper:
</t>
        </r>
        <r>
          <t xml:space="preserve">EDGAR mapping:
Source: 10-Q, accession #0001060391-25-000170, filed 2025-04-25
Period: 1Q24 / period ended 2024-03-31
Model row: Model!249 Stock-Based Comp Expense
Mapping type: direct
Concepts used: ShareBasedCompensation = 11 mm
Unit conversion: raw USD to $mm
Sign: copied using model sign convention
Confidence: high
Value written: 11</t>
        </r>
      </text>
    </comment>
    <comment ref="L249" authorId="0">
      <text>
        <r>
          <rPr>
            <b/>
          </rPr>
          <t xml:space="preserve">EDGAR Mapper:
</t>
        </r>
        <r>
          <t xml:space="preserve">EDGAR mapping:
Source: 10-Q, accession #0001060391-25-000216, filed 2025-07-30
Period: 2Q24 / period ended 2024-06-30
Model row: Model!249 Stock-Based Comp Expense
Mapping type: direct
Concepts used: ShareBasedCompensation = 11 mm
Unit conversion: raw USD to $mm
Sign: copied using model sign convention
Confidence: high
Value written: 11
Notes: Quarterly value was derived from Share-based Payment Arrangement, Noncash Expense less 1Q24.</t>
        </r>
      </text>
    </comment>
    <comment ref="M249" authorId="0">
      <text>
        <r>
          <rPr>
            <b/>
          </rPr>
          <t xml:space="preserve">EDGAR Mapper:
</t>
        </r>
        <r>
          <t xml:space="preserve">EDGAR mapping:
Source: 10-Q, accession #0001628280-25-047655, filed 2025-10-31
Period: 3Q24 / period ended 2024-09-30
Model row: Model!249 Stock-Based Comp Expense
Mapping type: direct
Concepts used: ShareBasedCompensation = 9 mm
Unit conversion: raw USD to $mm
Sign: copied using model sign convention
Confidence: high
Value written: 9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11 mm
Unit conversion: raw USD to $mm
Sign: copied using model sign convention
Confidence: high
Value written: 11
Notes: Quarterly value was derived from Share-based Payment Arrangement, Noncash Expense less 1Q24, 2Q24, 3Q24.</t>
        </r>
      </text>
    </comment>
    <comment ref="P249" authorId="0">
      <text>
        <r>
          <rPr>
            <b/>
          </rPr>
          <t xml:space="preserve">EDGAR Mapper:
</t>
        </r>
        <r>
          <t xml:space="preserve">EDGAR mapping:
Source: 10-Q, accession #0001060391-25-000170, filed 2025-04-25
Period: 1Q25 / period ended 2025-03-31
Model row: Model!249 Stock-Based Comp Expense
Mapping type: direct
Concepts used: ShareBasedCompensation = 13 mm
Unit conversion: raw USD to $mm
Sign: copied using model sign convention
Confidence: high
Value written: 13</t>
        </r>
      </text>
    </comment>
    <comment ref="Q249" authorId="0">
      <text>
        <r>
          <rPr>
            <b/>
          </rPr>
          <t xml:space="preserve">EDGAR Mapper:
</t>
        </r>
        <r>
          <t xml:space="preserve">EDGAR mapping:
Source: 10-Q, accession #0001060391-25-000216, filed 2025-07-30
Period: 2Q25 / period ended 2025-06-30
Model row: Model!249 Stock-Based Comp Expense
Mapping type: direct
Concepts used: ShareBasedCompensation = 10 mm
Unit conversion: raw USD to $mm
Sign: copied using model sign convention
Confidence: high
Value written: 10
Notes: Quarterly value was derived from Share-based Payment Arrangement, Noncash Expense less 1Q25.</t>
        </r>
      </text>
    </comment>
    <comment ref="R249" authorId="0">
      <text>
        <r>
          <rPr>
            <b/>
          </rPr>
          <t xml:space="preserve">EDGAR Mapper:
</t>
        </r>
        <r>
          <t xml:space="preserve">EDGAR mapping:
Source: 10-Q, accession #0001628280-25-047655, filed 2025-10-31
Period: 3Q25 / period ended 2025-09-30
Model row: Model!249 Stock-Based Comp Expense
Mapping type: direct
Concepts used: ShareBasedCompensation = 10 mm
Unit conversion: raw USD to $mm
Sign: copied using model sign convention
Confidence: high
Value written: 10
Notes: Quarterly value was derived from Share-based Payment Arrangement, Noncash Expense less 1Q25, 2Q25.</t>
        </r>
      </text>
    </comment>
    <comment ref="C257" authorId="0">
      <text>
        <r>
          <rPr>
            <b/>
          </rPr>
          <t xml:space="preserve">EDGAR Mapper:
</t>
        </r>
        <r>
          <t>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57" authorId="0">
      <text>
        <r>
          <rPr>
            <b/>
          </rPr>
          <t xml:space="preserve">EDGAR Mapper:
</t>
        </r>
        <r>
          <t xml:space="preserve">EDGAR mapping:
Source: 10-Q, accession #0001060391-24-000205, filed 2024-05-01
Period: 1Q23 / period ended 2023-03-31
Model row: Model!257 Dividends
Mapping type: direct
Concepts used: PaymentsOfDividendsCommonStock = 156.4 mm
Unit conversion: raw USD to $mm
Sign: inverted because model expects this row as negative
Confidence: high
Value written: -156.4</t>
        </r>
      </text>
    </comment>
    <comment ref="G257" authorId="0">
      <text>
        <r>
          <rPr>
            <b/>
          </rPr>
          <t xml:space="preserve">EDGAR Mapper:
</t>
        </r>
        <r>
          <t xml:space="preserve">EDGAR mapping:
Source: 10-Q, accession #0001060391-24-000273, filed 2024-07-25
Period: 2Q23 / period ended 2023-06-30
Model row: Model!257 Dividends
Mapping type: direct
Concepts used: PaymentsOfDividendsCommonStock = 156.6 mm
Unit conversion: raw USD to $mm
Sign: inverted because model expects this row as negative
Confidence: high
Value written: -156.6
Notes: Quarterly value was derived from Payments of Ordinary Dividends, Common Stock less 1Q23.</t>
        </r>
      </text>
    </comment>
    <comment ref="H257" authorId="0">
      <text>
        <r>
          <rPr>
            <b/>
          </rPr>
          <t xml:space="preserve">EDGAR Mapper:
</t>
        </r>
        <r>
          <t xml:space="preserve">EDGAR mapping:
Source: 10-Q, accession #0001060391-24-000324, filed 2024-10-30
Period: 3Q23 / period ended 2023-09-30
Model row: Model!257 Dividends
Mapping type: direct
Concepts used: PaymentsOfDividendsCommonStock = 156.5 mm
Unit conversion: raw USD to $mm
Sign: inverted because model expects this row as negative
Confidence: high
Value written: -156.5
Notes: Quarterly value was derived from Payments of Ordinary Dividends, Common Stock less 1Q23, 2Q23.</t>
        </r>
      </text>
    </comment>
    <comment ref="I257" authorId="0">
      <text>
        <r>
          <rPr>
            <b/>
          </rPr>
          <t xml:space="preserve">EDGAR Mapper:
</t>
        </r>
        <r>
          <t xml:space="preserve">EDGAR mapping:
Source: SEC filing
Period: 4Q23
Model row: Model!257 Dividends
Mapping type: direct
Concepts used: PaymentsOfDividendsCommonStock = 168.5 mm
Unit conversion: raw USD to $mm
Sign: inverted because model expects this row as negative
Confidence: high
Value written: -168.5
Notes: Quarterly value was derived from Payments of Ordinary Dividends, Common Stock less 1Q23, 2Q23, 3Q23.</t>
        </r>
      </text>
    </comment>
    <comment ref="K257" authorId="0">
      <text>
        <r>
          <rPr>
            <b/>
          </rPr>
          <t xml:space="preserve">EDGAR Mapper:
</t>
        </r>
        <r>
          <t xml:space="preserve">EDGAR mapping:
Source: 10-Q, accession #0001060391-25-000170, filed 2025-04-25
Period: 1Q24 / period ended 2024-03-31
Model row: Model!257 Dividends
Mapping type: direct
Concepts used: PaymentsOfDividendsCommonStock = 168 mm
Unit conversion: raw USD to $mm
Sign: inverted because model expects this row as negative
Confidence: high
Value written: -168</t>
        </r>
      </text>
    </comment>
    <comment ref="L257" authorId="0">
      <text>
        <r>
          <rPr>
            <b/>
          </rPr>
          <t xml:space="preserve">EDGAR Mapper:
</t>
        </r>
        <r>
          <t xml:space="preserve">EDGAR mapping:
Source: 10-Q, accession #0001060391-25-000216, filed 2025-07-30
Period: 2Q24 / period ended 2024-06-30
Model row: Model!257 Dividends
Mapping type: direct
Concepts used: PaymentsOfDividendsCommonStock = 169 mm
Unit conversion: raw USD to $mm
Sign: inverted because model expects this row as negative
Confidence: high
Value written: -169
Notes: Quarterly value was derived from Payments of Ordinary Dividends, Common Stock less 1Q24.</t>
        </r>
      </text>
    </comment>
    <comment ref="M257" authorId="0">
      <text>
        <r>
          <rPr>
            <b/>
          </rPr>
          <t xml:space="preserve">EDGAR Mapper:
</t>
        </r>
        <r>
          <t xml:space="preserve">EDGAR mapping:
Source: 10-Q, accession #0001628280-25-047655, filed 2025-10-31
Period: 3Q24 / period ended 2024-09-30
Model row: Model!257 Dividends
Mapping type: direct
Concepts used: PaymentsOfDividendsCommonStock = 168 mm
Unit conversion: raw USD to $mm
Sign: inverted because model expects this row as negative
Confidence: high
Value written: -168
Notes: Quarterly value was derived from Payments of Ordinary Dividends, Common Stock less 1Q24, 2Q24.</t>
        </r>
      </text>
    </comment>
    <comment ref="N257" authorId="0">
      <text>
        <r>
          <rPr>
            <b/>
          </rPr>
          <t xml:space="preserve">EDGAR Mapper:
</t>
        </r>
        <r>
          <t xml:space="preserve">EDGAR mapping:
Source: SEC filing
Period: 4Q24
Model row: Model!257 Dividends
Mapping type: direct
Concepts used: PaymentsOfDividendsCommonStock = 182 mm
Unit conversion: raw USD to $mm
Sign: inverted because model expects this row as negative
Confidence: high
Value written: -182
Notes: Quarterly value was derived from Payments of Ordinary Dividends, Common Stock less 1Q24, 2Q24, 3Q24.</t>
        </r>
      </text>
    </comment>
    <comment ref="P257" authorId="0">
      <text>
        <r>
          <rPr>
            <b/>
          </rPr>
          <t xml:space="preserve">EDGAR Mapper:
</t>
        </r>
        <r>
          <t xml:space="preserve">EDGAR mapping:
Source: 10-Q, accession #0001060391-26-000212, filed 2026-05-08
Period: 1Q25 / period ended 2025-03-31
Model row: Model!257 Dividends
Mapping type: direct
Concepts used: PaymentsOfDividendsCommonStock = 181 mm
Unit conversion: raw USD to $mm
Sign: inverted because model expects this row as negative
Confidence: high
Value written: -181</t>
        </r>
      </text>
    </comment>
    <comment ref="Q257" authorId="0">
      <text>
        <r>
          <rPr>
            <b/>
          </rPr>
          <t xml:space="preserve">EDGAR Mapper:
</t>
        </r>
        <r>
          <t xml:space="preserve">EDGAR mapping:
Source: 10-Q, accession #0001060391-25-000216, filed 2025-07-30
Period: 2Q25 / period ended 2025-06-30
Model row: Model!257 Dividends
Mapping type: direct
Concepts used: PaymentsOfDividendsCommonStock = 181 mm
Unit conversion: raw USD to $mm
Sign: inverted because model expects this row as negative
Confidence: high
Value written: -181
Notes: Quarterly value was derived from Payments of Ordinary Dividends, Common Stock less 1Q25.</t>
        </r>
      </text>
    </comment>
    <comment ref="R257" authorId="0">
      <text>
        <r>
          <rPr>
            <b/>
          </rPr>
          <t xml:space="preserve">EDGAR Mapper:
</t>
        </r>
        <r>
          <t xml:space="preserve">EDGAR mapping:
Source: 10-Q, accession #0001628280-25-047655, filed 2025-10-31
Period: 3Q25 / period ended 2025-09-30
Model row: Model!257 Dividends
Mapping type: direct
Concepts used: PaymentsOfDividendsCommonStock = 182 mm
Unit conversion: raw USD to $mm
Sign: inverted because model expects this row as negative
Confidence: high
Value written: -182
Notes: Quarterly value was derived from Payments of Ordinary Dividends, Common Stock less 1Q25, 2Q25.</t>
        </r>
      </text>
    </comment>
    <comment ref="S257" authorId="0">
      <text>
        <r>
          <rPr>
            <b/>
          </rPr>
          <t xml:space="preserve">EDGAR Mapper:
</t>
        </r>
        <r>
          <t xml:space="preserve">EDGAR mapping:
Source: SEC filing
Period: 4Q25
Model row: Model!257 Dividends
Mapping type: direct
Concepts used: PaymentsOfDividendsCommonStock = 194 mm
Unit conversion: raw USD to $mm
Sign: inverted because model expects this row as negative
Confidence: high
Value written: -194
Notes: Quarterly value was derived from Payments of Ordinary Dividends, Common Stock less 1Q25, 2Q25, 3Q25.</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22" authorId="0">
      <text>
        <r>
          <rPr>
            <color theme="1"/>
            <family val="2"/>
            <scheme val="minor"/>
            <sz val="11"/>
            <rFont val="Calibri"/>
          </rPr>
          <t xml:space="preserve">======
ID#AAABbnJBVyU
Luke Brennan    (2025-01-14 21:09:38)
Very Important to remember that this is quarterly! If you are looking up the company's debt schedule and rates, divide by 4!</t>
        </r>
      </text>
    </comment>
    <comment ref="Z322" authorId="0">
      <text>
        <r>
          <rPr>
            <color theme="1"/>
            <family val="2"/>
            <scheme val="minor"/>
            <sz val="11"/>
            <rFont val="Calibri"/>
          </rPr>
          <t xml:space="preserve">======
ID#AAABbnJBVyU
Luke Brennan    (2025-01-14 21:09:38)
Very Important to remember that this is quarterly! If you are looking up the company's debt schedule and rates, divide by 4!</t>
        </r>
      </text>
    </comment>
    <comment ref="AA322" authorId="0">
      <text>
        <r>
          <rPr>
            <color theme="1"/>
            <family val="2"/>
            <scheme val="minor"/>
            <sz val="11"/>
            <rFont val="Calibri"/>
          </rPr>
          <t xml:space="preserve">======
ID#AAABbnJBVyU
Luke Brennan    (2025-01-14 21:09:38)
Very Important to remember that this is quarterly! If you are looking up the company's debt schedule and rates, divide by 4!</t>
        </r>
      </text>
    </comment>
    <comment ref="AB322" authorId="0">
      <text>
        <r>
          <rPr>
            <color theme="1"/>
            <family val="2"/>
            <scheme val="minor"/>
            <sz val="11"/>
            <rFont val="Calibri"/>
          </rPr>
          <t xml:space="preserve">======
ID#AAABbnJBVyU
Luke Brennan    (2025-01-14 21:09:38)
Very Important to remember that this is quarterly! If you are looking up the company's debt schedule and rates, divide by 4!</t>
        </r>
      </text>
    </comment>
    <comment ref="AC322" authorId="0">
      <text>
        <r>
          <rPr>
            <color theme="1"/>
            <family val="2"/>
            <scheme val="minor"/>
            <sz val="11"/>
            <rFont val="Calibri"/>
          </rPr>
          <t xml:space="preserve">======
ID#AAABbnJBVyU
Luke Brennan    (2025-01-14 21:09:38)
Very Important to remember that this is quarterly! If you are looking up the company's debt schedule and rates, divide by 4!</t>
        </r>
      </text>
    </comment>
    <comment ref="AE322" authorId="0">
      <text>
        <r>
          <rPr>
            <color theme="1"/>
            <family val="2"/>
            <scheme val="minor"/>
            <sz val="11"/>
            <rFont val="Calibri"/>
          </rPr>
          <t xml:space="preserve">======
ID#AAABbnJBV2g
Luke Brennan    (2025-01-14 21:09:38)
Very Important to remember that this is quarterly! If you are looking up the company's debt schedule and rates, divide by 4!</t>
        </r>
      </text>
    </comment>
    <comment ref="AF322" authorId="0">
      <text>
        <r>
          <rPr>
            <color theme="1"/>
            <family val="2"/>
            <scheme val="minor"/>
            <sz val="11"/>
            <rFont val="Calibri"/>
          </rPr>
          <t xml:space="preserve">======
ID#AAABbnJBV2g
Luke Brennan    (2025-01-14 21:09:38)
Very Important to remember that this is quarterly! If you are looking up the company's debt schedule and rates, divide by 4!</t>
        </r>
      </text>
    </comment>
    <comment ref="AG322" authorId="0">
      <text>
        <r>
          <rPr>
            <color theme="1"/>
            <family val="2"/>
            <scheme val="minor"/>
            <sz val="11"/>
            <rFont val="Calibri"/>
          </rPr>
          <t xml:space="preserve">======
ID#AAABbnJBV2g
Luke Brennan    (2025-01-14 21:09:38)
Very Important to remember that this is quarterly! If you are looking up the company's debt schedule and rates, divide by 4!</t>
        </r>
      </text>
    </comment>
    <comment ref="C327" authorId="0">
      <text>
        <r>
          <rPr>
            <b/>
            <color indexed="81"/>
            <family val="2"/>
            <sz val="9"/>
            <rFont val="Tahoma"/>
          </rPr>
          <t>Yash Chinnapapannagari:</t>
        </r>
        <r>
          <rPr>
            <color indexed="81"/>
            <family val="2"/>
            <sz val="9"/>
            <rFont val="Tahoma"/>
          </rPr>
          <t xml:space="preserve">
included in other non-operating income in the financial statements; not going to project out here</t>
        </r>
      </text>
    </comment>
  </commentList>
</comments>
</file>

<file path=xl/comments9.xml><?xml version="1.0" encoding="utf-8"?>
<comments xmlns="http://schemas.openxmlformats.org/spreadsheetml/2006/main">
  <authors>
    <author>Author</author>
  </authors>
  <commentList>
    <comment ref="F9" authorId="0">
      <text>
        <r>
          <rPr>
            <b/>
          </rPr>
          <t xml:space="preserve">EDGAR Mapper:
</t>
        </r>
        <r>
          <t>Needs review: Segment Analysis row was not filled because the template label is blank, generic, or does not confidently match an EDGAR reportable segment.</t>
        </r>
      </text>
    </comment>
    <comment ref="G9" authorId="0">
      <text>
        <r>
          <rPr>
            <b/>
          </rPr>
          <t xml:space="preserve">EDGAR Mapper:
</t>
        </r>
        <r>
          <t>Needs review: Segment Analysis row was not filled because the template label is blank, generic, or does not confidently match an EDGAR reportable segment.</t>
        </r>
      </text>
    </comment>
    <comment ref="H9" authorId="0">
      <text>
        <r>
          <rPr>
            <b/>
          </rPr>
          <t xml:space="preserve">EDGAR Mapper:
</t>
        </r>
        <r>
          <t>Needs review: Segment Analysis row was not filled because the template label is blank, generic, or does not confidently match an EDGAR reportable segment.</t>
        </r>
      </text>
    </comment>
    <comment ref="I9" authorId="0">
      <text>
        <r>
          <rPr>
            <b/>
          </rPr>
          <t xml:space="preserve">EDGAR Mapper:
</t>
        </r>
        <r>
          <t>Needs review: Segment Analysis row was not filled because the template label is blank, generic, or does not confidently match an EDGAR reportable segment.</t>
        </r>
      </text>
    </comment>
    <comment ref="K9" authorId="0">
      <text>
        <r>
          <rPr>
            <b/>
          </rPr>
          <t xml:space="preserve">EDGAR Mapper:
</t>
        </r>
        <r>
          <t>Needs review: Segment Analysis row was not filled because the template label is blank, generic, or does not confidently match an EDGAR reportable segment.</t>
        </r>
      </text>
    </comment>
    <comment ref="L9" authorId="0">
      <text>
        <r>
          <rPr>
            <b/>
          </rPr>
          <t xml:space="preserve">EDGAR Mapper:
</t>
        </r>
        <r>
          <t>Needs review: Segment Analysis row was not filled because the template label is blank, generic, or does not confidently match an EDGAR reportable segment.</t>
        </r>
      </text>
    </comment>
    <comment ref="M9" authorId="0">
      <text>
        <r>
          <rPr>
            <b/>
          </rPr>
          <t xml:space="preserve">EDGAR Mapper:
</t>
        </r>
        <r>
          <t>Needs review: Segment Analysis row was not filled because the template label is blank, generic, or does not confidently match an EDGAR reportable segment.</t>
        </r>
      </text>
    </comment>
    <comment ref="N9" authorId="0">
      <text>
        <r>
          <rPr>
            <b/>
          </rPr>
          <t xml:space="preserve">EDGAR Mapper:
</t>
        </r>
        <r>
          <t>Needs review: Segment Analysis row was not filled because the template label is blank, generic, or does not confidently match an EDGAR reportable segment.</t>
        </r>
      </text>
    </comment>
    <comment ref="P9" authorId="0">
      <text>
        <r>
          <rPr>
            <b/>
          </rPr>
          <t xml:space="preserve">EDGAR Mapper:
</t>
        </r>
        <r>
          <t>Needs review: Segment Analysis row was not filled because the template label is blank, generic, or does not confidently match an EDGAR reportable segment.</t>
        </r>
      </text>
    </comment>
    <comment ref="Q9" authorId="0">
      <text>
        <r>
          <rPr>
            <b/>
          </rPr>
          <t xml:space="preserve">EDGAR Mapper:
</t>
        </r>
        <r>
          <t>Needs review: Segment Analysis row was not filled because the template label is blank, generic, or does not confidently match an EDGAR reportable segment.</t>
        </r>
      </text>
    </comment>
    <comment ref="R9" authorId="0">
      <text>
        <r>
          <rPr>
            <b/>
          </rPr>
          <t xml:space="preserve">EDGAR Mapper:
</t>
        </r>
        <r>
          <t>Needs review: Segment Analysis row was not filled because the template label is blank, generic, or does not confidently match an EDGAR reportable segment.</t>
        </r>
      </text>
    </comment>
    <comment ref="S9" authorId="0">
      <text>
        <r>
          <rPr>
            <b/>
          </rPr>
          <t xml:space="preserve">EDGAR Mapper:
</t>
        </r>
        <r>
          <t>Needs review: Segment Analysis row was not filled because the template label is blank, generic, or does not confidently match an EDGAR reportable segment.</t>
        </r>
      </text>
    </comment>
    <comment ref="F10" authorId="0">
      <text>
        <r>
          <rPr>
            <b/>
          </rPr>
          <t xml:space="preserve">EDGAR Mapper:
</t>
        </r>
        <r>
          <t xml:space="preserve">EDGAR mapping:
Source: SEC inline XBRL segment table
Period: 1Q23
Model row: Segment Analysis!F10 Landfill
Mapping type: segment
Concepts used: reportable segment Landfill Revenue = 392.6 mm
Unit conversion: raw USD to $mm
Sign: copied using model sign convention
Confidence: high
Notes: Segment Analysis is mapped only to reportable segment rows that match the template labels; generic or blank segment rows are left unchanged.</t>
        </r>
      </text>
    </comment>
    <comment ref="G10" authorId="0">
      <text>
        <r>
          <rPr>
            <b/>
          </rPr>
          <t xml:space="preserve">EDGAR Mapper:
</t>
        </r>
        <r>
          <t xml:space="preserve">EDGAR mapping:
Source: SEC inline XBRL segment table
Period: 2Q23
Model row: Segment Analysis!G10 Landfill
Mapping type: segment
Concepts used: reportable segment Landfill Revenue = 431 mm
Unit conversion: raw USD to $mm
Sign: copied using model sign convention
Confidence: high
Notes: Segment Analysis is mapped only to reportable segment rows that match the template labels; generic or blank segment rows are left unchanged.</t>
        </r>
      </text>
    </comment>
    <comment ref="H10" authorId="0">
      <text>
        <r>
          <rPr>
            <b/>
          </rPr>
          <t xml:space="preserve">EDGAR Mapper:
</t>
        </r>
        <r>
          <t xml:space="preserve">EDGAR mapping:
Source: SEC inline XBRL segment table
Period: 3Q23
Model row: Segment Analysis!H10 Landfill
Mapping type: segment
Concepts used: reportable segment Landfill Revenue = 436.3 mm
Unit conversion: raw USD to $mm
Sign: copied using model sign convention
Confidence: high
Notes: Segment Analysis is mapped only to reportable segment rows that match the template labels; generic or blank segment rows are left unchanged.</t>
        </r>
      </text>
    </comment>
    <comment ref="I10" authorId="0">
      <text>
        <r>
          <rPr>
            <b/>
          </rPr>
          <t xml:space="preserve">EDGAR Mapper:
</t>
        </r>
        <r>
          <t xml:space="preserve">EDGAR mapping:
Source: SEC inline XBRL segment table
Period: 4Q23
Model row: Segment Analysis!I10 Landfill
Mapping type: segment
Concepts used: reportable segment Landfill Revenue = 419.5 mm
Unit conversion: raw USD to $mm
Sign: copied using model sign convention
Confidence: high
Notes: Segment Analysis is mapped only to reportable segment rows that match the template labels; generic or blank segment rows are left unchanged.</t>
        </r>
      </text>
    </comment>
    <comment ref="K10" authorId="0">
      <text>
        <r>
          <rPr>
            <b/>
          </rPr>
          <t xml:space="preserve">EDGAR Mapper:
</t>
        </r>
        <r>
          <t xml:space="preserve">EDGAR mapping:
Source: SEC inline XBRL segment table
Period: 1Q24
Model row: Segment Analysis!K10 Landfill
Mapping type: segment
Concepts used: reportable segment Landfill Revenue = 404.4 mm
Unit conversion: raw USD to $mm
Sign: copied using model sign convention
Confidence: high
Notes: Segment Analysis is mapped only to reportable segment rows that match the template labels; generic or blank segment rows are left unchanged.</t>
        </r>
      </text>
    </comment>
    <comment ref="L10" authorId="0">
      <text>
        <r>
          <rPr>
            <b/>
          </rPr>
          <t xml:space="preserve">EDGAR Mapper:
</t>
        </r>
        <r>
          <t xml:space="preserve">EDGAR mapping:
Source: SEC inline XBRL segment table
Period: 2Q24
Model row: Segment Analysis!L10 Landfill
Mapping type: segment
Concepts used: reportable segment Landfill Revenue = 440.2 mm
Unit conversion: raw USD to $mm
Sign: copied using model sign convention
Confidence: high
Notes: Segment Analysis is mapped only to reportable segment rows that match the template labels; generic or blank segment rows are left unchanged.</t>
        </r>
      </text>
    </comment>
    <comment ref="M10" authorId="0">
      <text>
        <r>
          <rPr>
            <b/>
          </rPr>
          <t xml:space="preserve">EDGAR Mapper:
</t>
        </r>
        <r>
          <t xml:space="preserve">EDGAR mapping:
Source: SEC inline XBRL segment table
Period: 3Q24
Model row: Segment Analysis!M10 Landfill
Mapping type: segment
Concepts used: reportable segment Landfill Revenue = 452.8 mm
Unit conversion: raw USD to $mm
Sign: copied using model sign convention
Confidence: high
Notes: Segment Analysis is mapped only to reportable segment rows that match the template labels; generic or blank segment rows are left unchanged.</t>
        </r>
      </text>
    </comment>
    <comment ref="N10" authorId="0">
      <text>
        <r>
          <rPr>
            <b/>
          </rPr>
          <t xml:space="preserve">EDGAR Mapper:
</t>
        </r>
        <r>
          <t xml:space="preserve">EDGAR mapping:
Source: SEC inline XBRL segment table
Period: 4Q24
Model row: Segment Analysis!N10 Landfill
Mapping type: segment
Concepts used: reportable segment Landfill Revenue = 443.6 mm
Unit conversion: raw USD to $mm
Sign: copied using model sign convention
Confidence: high
Notes: Segment Analysis is mapped only to reportable segment rows that match the template labels; generic or blank segment rows are left unchanged.</t>
        </r>
      </text>
    </comment>
    <comment ref="P10" authorId="0">
      <text>
        <r>
          <rPr>
            <b/>
          </rPr>
          <t xml:space="preserve">EDGAR Mapper:
</t>
        </r>
        <r>
          <t xml:space="preserve">EDGAR mapping:
Source: SEC inline XBRL segment table
Period: 1Q25
Model row: Segment Analysis!P10 Landfill
Mapping type: segment
Concepts used: reportable segment Landfill Revenue = 421 mm
Unit conversion: raw USD to $mm
Sign: copied using model sign convention
Confidence: high
Notes: Segment Analysis is mapped only to reportable segment rows that match the template labels; generic or blank segment rows are left unchanged.</t>
        </r>
      </text>
    </comment>
    <comment ref="Q10" authorId="0">
      <text>
        <r>
          <rPr>
            <b/>
          </rPr>
          <t xml:space="preserve">EDGAR Mapper:
</t>
        </r>
        <r>
          <t xml:space="preserve">EDGAR mapping:
Source: SEC inline XBRL segment table
Period: 2Q25
Model row: Segment Analysis!Q10 Landfill
Mapping type: segment
Concepts used: reportable segment Landfill Revenue = 516 mm
Unit conversion: raw USD to $mm
Sign: copied using model sign convention
Confidence: high
Notes: Segment Analysis is mapped only to reportable segment rows that match the template labels; generic or blank segment rows are left unchanged.</t>
        </r>
      </text>
    </comment>
    <comment ref="R10" authorId="0">
      <text>
        <r>
          <rPr>
            <b/>
          </rPr>
          <t xml:space="preserve">EDGAR Mapper:
</t>
        </r>
        <r>
          <t xml:space="preserve">EDGAR mapping:
Source: SEC inline XBRL segment table
Period: 3Q25
Model row: Segment Analysis!R10 Landfill
Mapping type: segment
Concepts used: reportable segment Landfill Revenue = 516 mm
Unit conversion: raw USD to $mm
Sign: copied using model sign convention
Confidence: high
Notes: Segment Analysis is mapped only to reportable segment rows that match the template labels; generic or blank segment rows are left unchanged.</t>
        </r>
      </text>
    </comment>
    <comment ref="S10" authorId="0">
      <text>
        <r>
          <rPr>
            <b/>
          </rPr>
          <t xml:space="preserve">EDGAR Mapper:
</t>
        </r>
        <r>
          <t xml:space="preserve">EDGAR mapping:
Source: SEC inline XBRL segment table
Period: 4Q25
Model row: Segment Analysis!S10 Landfill
Mapping type: segment
Concepts used: reportable segment Landfill Revenue = 467 mm
Unit conversion: raw USD to $mm
Sign: copied using model sign convention
Confidence: high
Notes: Segment Analysis is mapped only to reportable segment rows that match the template labels; generic or blank segment rows are left unchanged.</t>
        </r>
      </text>
    </comment>
    <comment ref="F11" authorId="0">
      <text>
        <r>
          <rPr>
            <b/>
          </rPr>
          <t xml:space="preserve">EDGAR Mapper:
</t>
        </r>
        <r>
          <t xml:space="preserve">EDGAR mapping:
Source: SEC inline XBRL segment table
Period: 1Q23
Model row: Segment Analysis!F11 Environmental solutions
Mapping type: segment
Concepts used: reportable segment Environmental Solutions Revenue = 408.3 mm
Unit conversion: raw USD to $mm
Sign: copied using model sign convention
Confidence: high
Notes: Segment Analysis is mapped only to reportable segment rows that match the template labels; generic or blank segment rows are left unchanged.</t>
        </r>
      </text>
    </comment>
    <comment ref="G11" authorId="0">
      <text>
        <r>
          <rPr>
            <b/>
          </rPr>
          <t xml:space="preserve">EDGAR Mapper:
</t>
        </r>
        <r>
          <t xml:space="preserve">EDGAR mapping:
Source: SEC inline XBRL segment table
Period: 2Q23
Model row: Segment Analysis!G11 Environmental solutions
Mapping type: segment
Concepts used: reportable segment Environmental Solutions Revenue = 398.3 mm
Unit conversion: raw USD to $mm
Sign: copied using model sign convention
Confidence: high
Notes: Segment Analysis is mapped only to reportable segment rows that match the template labels; generic or blank segment rows are left unchanged.</t>
        </r>
      </text>
    </comment>
    <comment ref="H11" authorId="0">
      <text>
        <r>
          <rPr>
            <b/>
          </rPr>
          <t xml:space="preserve">EDGAR Mapper:
</t>
        </r>
        <r>
          <t xml:space="preserve">EDGAR mapping:
Source: SEC inline XBRL segment table
Period: 3Q23
Model row: Segment Analysis!H11 Environmental solutions
Mapping type: segment
Concepts used: reportable segment Environmental Solutions Revenue = 404.8 mm
Unit conversion: raw USD to $mm
Sign: copied using model sign convention
Confidence: high
Notes: Segment Analysis is mapped only to reportable segment rows that match the template labels; generic or blank segment rows are left unchanged.</t>
        </r>
      </text>
    </comment>
    <comment ref="I11" authorId="0">
      <text>
        <r>
          <rPr>
            <b/>
          </rPr>
          <t xml:space="preserve">EDGAR Mapper:
</t>
        </r>
        <r>
          <t xml:space="preserve">EDGAR mapping:
Source: SEC inline XBRL segment table
Period: 4Q23
Model row: Segment Analysis!I11 Environmental solutions
Mapping type: segment
Concepts used: reportable segment Environmental Solutions Revenue = 413.5 mm
Unit conversion: raw USD to $mm
Sign: copied using model sign convention
Confidence: high
Notes: Segment Analysis is mapped only to reportable segment rows that match the template labels; generic or blank segment rows are left unchanged.</t>
        </r>
      </text>
    </comment>
    <comment ref="K11" authorId="0">
      <text>
        <r>
          <rPr>
            <b/>
          </rPr>
          <t xml:space="preserve">EDGAR Mapper:
</t>
        </r>
        <r>
          <t xml:space="preserve">EDGAR mapping:
Source: SEC inline XBRL segment table
Period: 1Q24
Model row: Segment Analysis!K11 Environmental solutions
Mapping type: segment
Concepts used: reportable segment Environmental Solutions Revenue = 423.3 mm
Unit conversion: raw USD to $mm
Sign: copied using model sign convention
Confidence: high
Notes: Segment Analysis is mapped only to reportable segment rows that match the template labels; generic or blank segment rows are left unchanged.</t>
        </r>
      </text>
    </comment>
    <comment ref="L11" authorId="0">
      <text>
        <r>
          <rPr>
            <b/>
          </rPr>
          <t xml:space="preserve">EDGAR Mapper:
</t>
        </r>
        <r>
          <t xml:space="preserve">EDGAR mapping:
Source: SEC inline XBRL segment table
Period: 2Q24
Model row: Segment Analysis!L11 Environmental solutions
Mapping type: segment
Concepts used: reportable segment Environmental Solutions Revenue = 472.6 mm
Unit conversion: raw USD to $mm
Sign: copied using model sign convention
Confidence: high
Notes: Segment Analysis is mapped only to reportable segment rows that match the template labels; generic or blank segment rows are left unchanged.</t>
        </r>
      </text>
    </comment>
    <comment ref="M11" authorId="0">
      <text>
        <r>
          <rPr>
            <b/>
          </rPr>
          <t xml:space="preserve">EDGAR Mapper:
</t>
        </r>
        <r>
          <t xml:space="preserve">EDGAR mapping:
Source: SEC inline XBRL segment table
Period: 3Q24
Model row: Segment Analysis!M11 Environmental solutions
Mapping type: segment
Concepts used: reportable segment Environmental Solutions Revenue = 464.7 mm
Unit conversion: raw USD to $mm
Sign: copied using model sign convention
Confidence: high
Notes: Segment Analysis is mapped only to reportable segment rows that match the template labels; generic or blank segment rows are left unchanged.</t>
        </r>
      </text>
    </comment>
    <comment ref="N11" authorId="0">
      <text>
        <r>
          <rPr>
            <b/>
          </rPr>
          <t xml:space="preserve">EDGAR Mapper:
</t>
        </r>
        <r>
          <t xml:space="preserve">EDGAR mapping:
Source: SEC inline XBRL segment table
Period: 4Q24
Model row: Segment Analysis!N11 Environmental solutions
Mapping type: segment
Concepts used: reportable segment Environmental Solutions Revenue = 482.4 mm
Unit conversion: raw USD to $mm
Sign: copied using model sign convention
Confidence: high
Notes: Segment Analysis is mapped only to reportable segment rows that match the template labels; generic or blank segment rows are left unchanged.</t>
        </r>
      </text>
    </comment>
    <comment ref="P11" authorId="0">
      <text>
        <r>
          <rPr>
            <b/>
          </rPr>
          <t xml:space="preserve">EDGAR Mapper:
</t>
        </r>
        <r>
          <t xml:space="preserve">EDGAR mapping:
Source: SEC inline XBRL segment table
Period: 1Q25
Model row: Segment Analysis!P11 Environmental solutions
Mapping type: segment
Concepts used: reportable segment Environmental Solutions Revenue = 449 mm
Unit conversion: raw USD to $mm
Sign: copied using model sign convention
Confidence: high
Notes: Segment Analysis is mapped only to reportable segment rows that match the template labels; generic or blank segment rows are left unchanged.</t>
        </r>
      </text>
    </comment>
    <comment ref="Q11" authorId="0">
      <text>
        <r>
          <rPr>
            <b/>
          </rPr>
          <t xml:space="preserve">EDGAR Mapper:
</t>
        </r>
        <r>
          <t xml:space="preserve">EDGAR mapping:
Source: SEC inline XBRL segment table
Period: 2Q25
Model row: Segment Analysis!Q11 Environmental solutions
Mapping type: segment
Concepts used: reportable segment Environmental Solutions Revenue = 462 mm
Unit conversion: raw USD to $mm
Sign: copied using model sign convention
Confidence: high
Notes: Segment Analysis is mapped only to reportable segment rows that match the template labels; generic or blank segment rows are left unchanged.</t>
        </r>
      </text>
    </comment>
    <comment ref="R11" authorId="0">
      <text>
        <r>
          <rPr>
            <b/>
          </rPr>
          <t xml:space="preserve">EDGAR Mapper:
</t>
        </r>
        <r>
          <t xml:space="preserve">EDGAR mapping:
Source: SEC inline XBRL segment table
Period: 3Q25
Model row: Segment Analysis!R11 Environmental solutions
Mapping type: segment
Concepts used: reportable segment Environmental Solutions Revenue = 433 mm
Unit conversion: raw USD to $mm
Sign: copied using model sign convention
Confidence: high
Notes: Segment Analysis is mapped only to reportable segment rows that match the template labels; generic or blank segment rows are left unchanged.</t>
        </r>
      </text>
    </comment>
    <comment ref="S11" authorId="0">
      <text>
        <r>
          <rPr>
            <b/>
          </rPr>
          <t xml:space="preserve">EDGAR Mapper:
</t>
        </r>
        <r>
          <t xml:space="preserve">EDGAR mapping:
Source: SEC inline XBRL segment table
Period: 4Q25
Model row: Segment Analysis!S11 Environmental solutions
Mapping type: segment
Concepts used: reportable segment Environmental Solutions Revenue = 422 mm
Unit conversion: raw USD to $mm
Sign: copied using model sign convention
Confidence: high
Notes: Segment Analysis is mapped only to reportable segment rows that match the template labels; generic or blank segment rows are left unchanged.</t>
        </r>
      </text>
    </comment>
    <comment ref="F12" authorId="0">
      <text>
        <r>
          <rPr>
            <b/>
          </rPr>
          <t xml:space="preserve">EDGAR Mapper:
</t>
        </r>
        <r>
          <t xml:space="preserve">EDGAR mapping:
Source: SEC inline XBRL segment table
Period: 1Q23
Model row: Segment Analysis!F12 Transfer
Mapping type: segment
Concepts used: reportable segment Transfer Revenue = 173.3 mm
Unit conversion: raw USD to $mm
Sign: copied using model sign convention
Confidence: high
Notes: Segment Analysis is mapped only to reportable segment rows that match the template labels; generic or blank segment rows are left unchanged.</t>
        </r>
      </text>
    </comment>
    <comment ref="G12" authorId="0">
      <text>
        <r>
          <rPr>
            <b/>
          </rPr>
          <t xml:space="preserve">EDGAR Mapper:
</t>
        </r>
        <r>
          <t xml:space="preserve">EDGAR mapping:
Source: SEC inline XBRL segment table
Period: 2Q23
Model row: Segment Analysis!G12 Transfer
Mapping type: segment
Concepts used: reportable segment Transfer Revenue = 197.3 mm
Unit conversion: raw USD to $mm
Sign: copied using model sign convention
Confidence: high
Notes: Segment Analysis is mapped only to reportable segment rows that match the template labels; generic or blank segment rows are left unchanged.</t>
        </r>
      </text>
    </comment>
    <comment ref="H12" authorId="0">
      <text>
        <r>
          <rPr>
            <b/>
          </rPr>
          <t xml:space="preserve">EDGAR Mapper:
</t>
        </r>
        <r>
          <t xml:space="preserve">EDGAR mapping:
Source: SEC inline XBRL segment table
Period: 3Q23
Model row: Segment Analysis!H12 Transfer
Mapping type: segment
Concepts used: reportable segment Transfer Revenue = 206.2 mm
Unit conversion: raw USD to $mm
Sign: copied using model sign convention
Confidence: high
Notes: Segment Analysis is mapped only to reportable segment rows that match the template labels; generic or blank segment rows are left unchanged.</t>
        </r>
      </text>
    </comment>
    <comment ref="I12" authorId="0">
      <text>
        <r>
          <rPr>
            <b/>
          </rPr>
          <t xml:space="preserve">EDGAR Mapper:
</t>
        </r>
        <r>
          <t xml:space="preserve">EDGAR mapping:
Source: SEC inline XBRL segment table
Period: 4Q23
Model row: Segment Analysis!I12 Transfer
Mapping type: segment
Concepts used: reportable segment Transfer Revenue = 188.6 mm
Unit conversion: raw USD to $mm
Sign: copied using model sign convention
Confidence: high
Notes: Segment Analysis is mapped only to reportable segment rows that match the template labels; generic or blank segment rows are left unchanged.</t>
        </r>
      </text>
    </comment>
    <comment ref="K12" authorId="0">
      <text>
        <r>
          <rPr>
            <b/>
          </rPr>
          <t xml:space="preserve">EDGAR Mapper:
</t>
        </r>
        <r>
          <t xml:space="preserve">EDGAR mapping:
Source: SEC inline XBRL segment table
Period: 1Q24
Model row: Segment Analysis!K12 Transfer
Mapping type: segment
Concepts used: reportable segment Transfer Revenue = 182.8 mm
Unit conversion: raw USD to $mm
Sign: copied using model sign convention
Confidence: high
Notes: Segment Analysis is mapped only to reportable segment rows that match the template labels; generic or blank segment rows are left unchanged.</t>
        </r>
      </text>
    </comment>
    <comment ref="L12" authorId="0">
      <text>
        <r>
          <rPr>
            <b/>
          </rPr>
          <t xml:space="preserve">EDGAR Mapper:
</t>
        </r>
        <r>
          <t xml:space="preserve">EDGAR mapping:
Source: SEC inline XBRL segment table
Period: 2Q24
Model row: Segment Analysis!L12 Transfer
Mapping type: segment
Concepts used: reportable segment Transfer Revenue = 208.2 mm
Unit conversion: raw USD to $mm
Sign: copied using model sign convention
Confidence: high
Notes: Segment Analysis is mapped only to reportable segment rows that match the template labels; generic or blank segment rows are left unchanged.</t>
        </r>
      </text>
    </comment>
    <comment ref="M12" authorId="0">
      <text>
        <r>
          <rPr>
            <b/>
          </rPr>
          <t xml:space="preserve">EDGAR Mapper:
</t>
        </r>
        <r>
          <t xml:space="preserve">EDGAR mapping:
Source: SEC inline XBRL segment table
Period: 3Q24
Model row: Segment Analysis!M12 Transfer
Mapping type: segment
Concepts used: reportable segment Transfer Revenue = 211.6 mm
Unit conversion: raw USD to $mm
Sign: copied using model sign convention
Confidence: high
Notes: Segment Analysis is mapped only to reportable segment rows that match the template labels; generic or blank segment rows are left unchanged.</t>
        </r>
      </text>
    </comment>
    <comment ref="N12" authorId="0">
      <text>
        <r>
          <rPr>
            <b/>
          </rPr>
          <t xml:space="preserve">EDGAR Mapper:
</t>
        </r>
        <r>
          <t xml:space="preserve">EDGAR mapping:
Source: SEC inline XBRL segment table
Period: 4Q24
Model row: Segment Analysis!N12 Transfer
Mapping type: segment
Concepts used: reportable segment Transfer Revenue = 202.4 mm
Unit conversion: raw USD to $mm
Sign: copied using model sign convention
Confidence: high
Notes: Segment Analysis is mapped only to reportable segment rows that match the template labels; generic or blank segment rows are left unchanged.</t>
        </r>
      </text>
    </comment>
    <comment ref="P12" authorId="0">
      <text>
        <r>
          <rPr>
            <b/>
          </rPr>
          <t xml:space="preserve">EDGAR Mapper:
</t>
        </r>
        <r>
          <t xml:space="preserve">EDGAR mapping:
Source: SEC inline XBRL segment table
Period: 1Q25
Model row: Segment Analysis!P12 Transfer
Mapping type: segment
Concepts used: reportable segment Transfer Revenue = 188 mm
Unit conversion: raw USD to $mm
Sign: copied using model sign convention
Confidence: high
Notes: Segment Analysis is mapped only to reportable segment rows that match the template labels; generic or blank segment rows are left unchanged.</t>
        </r>
      </text>
    </comment>
    <comment ref="Q12" authorId="0">
      <text>
        <r>
          <rPr>
            <b/>
          </rPr>
          <t xml:space="preserve">EDGAR Mapper:
</t>
        </r>
        <r>
          <t xml:space="preserve">EDGAR mapping:
Source: SEC inline XBRL segment table
Period: 2Q25
Model row: Segment Analysis!Q12 Transfer
Mapping type: segment
Concepts used: reportable segment Transfer Revenue = 221 mm
Unit conversion: raw USD to $mm
Sign: copied using model sign convention
Confidence: high
Notes: Segment Analysis is mapped only to reportable segment rows that match the template labels; generic or blank segment rows are left unchanged.</t>
        </r>
      </text>
    </comment>
    <comment ref="R12" authorId="0">
      <text>
        <r>
          <rPr>
            <b/>
          </rPr>
          <t xml:space="preserve">EDGAR Mapper:
</t>
        </r>
        <r>
          <t xml:space="preserve">EDGAR mapping:
Source: SEC inline XBRL segment table
Period: 3Q25
Model row: Segment Analysis!R12 Transfer
Mapping type: segment
Concepts used: reportable segment Transfer Revenue = 224 mm
Unit conversion: raw USD to $mm
Sign: copied using model sign convention
Confidence: high
Notes: Segment Analysis is mapped only to reportable segment rows that match the template labels; generic or blank segment rows are left unchanged.</t>
        </r>
      </text>
    </comment>
    <comment ref="S12" authorId="0">
      <text>
        <r>
          <rPr>
            <b/>
          </rPr>
          <t xml:space="preserve">EDGAR Mapper:
</t>
        </r>
        <r>
          <t xml:space="preserve">EDGAR mapping:
Source: SEC inline XBRL segment table
Period: 4Q25
Model row: Segment Analysis!S12 Transfer
Mapping type: segment
Concepts used: reportable segment Transfer Revenue = 215 mm
Unit conversion: raw USD to $mm
Sign: copied using model sign convention
Confidence: high
Notes: Segment Analysis is mapped only to reportable segment rows that match the template labels; generic or blank segment rows are left unchanged.</t>
        </r>
      </text>
    </comment>
    <comment ref="F13" authorId="0">
      <text>
        <r>
          <rPr>
            <b/>
          </rPr>
          <t xml:space="preserve">EDGAR Mapper:
</t>
        </r>
        <r>
          <t xml:space="preserve">EDGAR mapping:
Source: SEC inline XBRL segment table
Period: 1Q23
Model row: Segment Analysis!F13 Other
Mapping type: segment
Concepts used: reportable segment Other Revenue = 148.5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G13" authorId="0">
      <text>
        <r>
          <rPr>
            <b/>
          </rPr>
          <t xml:space="preserve">EDGAR Mapper:
</t>
        </r>
        <r>
          <t xml:space="preserve">EDGAR mapping:
Source: SEC inline XBRL segment table
Period: 2Q23
Model row: Segment Analysis!G13 Other
Mapping type: segment
Concepts used: reportable segment Other Revenue = 156.3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H13" authorId="0">
      <text>
        <r>
          <rPr>
            <b/>
          </rPr>
          <t xml:space="preserve">EDGAR Mapper:
</t>
        </r>
        <r>
          <t xml:space="preserve">EDGAR mapping:
Source: SEC inline XBRL segment table
Period: 3Q23
Model row: Segment Analysis!H13 Other
Mapping type: segment
Concepts used: reportable segment Other Revenue = 162.1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I13" authorId="0">
      <text>
        <r>
          <rPr>
            <b/>
          </rPr>
          <t xml:space="preserve">EDGAR Mapper:
</t>
        </r>
        <r>
          <t xml:space="preserve">EDGAR mapping:
Source: SEC inline XBRL segment table
Period: 4Q23
Model row: Segment Analysis!I13 Other
Mapping type: segment
Concepts used: reportable segment Other Revenue = 175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K13" authorId="0">
      <text>
        <r>
          <rPr>
            <b/>
          </rPr>
          <t xml:space="preserve">EDGAR Mapper:
</t>
        </r>
        <r>
          <t xml:space="preserve">EDGAR mapping:
Source: SEC inline XBRL segment table
Period: 1Q24
Model row: Segment Analysis!K13 Other
Mapping type: segment
Concepts used: reportable segment Other Revenue = 188.4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L13" authorId="0">
      <text>
        <r>
          <rPr>
            <b/>
          </rPr>
          <t xml:space="preserve">EDGAR Mapper:
</t>
        </r>
        <r>
          <t xml:space="preserve">EDGAR mapping:
Source: SEC inline XBRL segment table
Period: 2Q24
Model row: Segment Analysis!L13 Other
Mapping type: segment
Concepts used: reportable segment Other Revenue = 204.2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M13" authorId="0">
      <text>
        <r>
          <rPr>
            <b/>
          </rPr>
          <t xml:space="preserve">EDGAR Mapper:
</t>
        </r>
        <r>
          <t xml:space="preserve">EDGAR mapping:
Source: SEC inline XBRL segment table
Period: 3Q24
Model row: Segment Analysis!M13 Other
Mapping type: segment
Concepts used: reportable segment Other Revenue = 205.3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N13" authorId="0">
      <text>
        <r>
          <rPr>
            <b/>
          </rPr>
          <t xml:space="preserve">EDGAR Mapper:
</t>
        </r>
        <r>
          <t xml:space="preserve">EDGAR mapping:
Source: SEC inline XBRL segment table
Period: 4Q24
Model row: Segment Analysis!N13 Other
Mapping type: segment
Concepts used: reportable segment Other Revenue = 190.1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P13" authorId="0">
      <text>
        <r>
          <rPr>
            <b/>
          </rPr>
          <t xml:space="preserve">EDGAR Mapper:
</t>
        </r>
        <r>
          <t xml:space="preserve">EDGAR mapping:
Source: SEC inline XBRL segment table
Period: 1Q25
Model row: Segment Analysis!P13 Other
Mapping type: segment
Concepts used: reportable segment Other Revenue = 208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Q13" authorId="0">
      <text>
        <r>
          <rPr>
            <b/>
          </rPr>
          <t xml:space="preserve">EDGAR Mapper:
</t>
        </r>
        <r>
          <t xml:space="preserve">EDGAR mapping:
Source: SEC inline XBRL segment table
Period: 2Q25
Model row: Segment Analysis!Q13 Other
Mapping type: segment
Concepts used: reportable segment Other Revenue = 214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R13" authorId="0">
      <text>
        <r>
          <rPr>
            <b/>
          </rPr>
          <t xml:space="preserve">EDGAR Mapper:
</t>
        </r>
        <r>
          <t xml:space="preserve">EDGAR mapping:
Source: SEC inline XBRL segment table
Period: 3Q25
Model row: Segment Analysis!R13 Other
Mapping type: segment
Concepts used: reportable segment Other Revenue = 204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S13" authorId="0">
      <text>
        <r>
          <rPr>
            <b/>
          </rPr>
          <t xml:space="preserve">EDGAR Mapper:
</t>
        </r>
        <r>
          <t xml:space="preserve">EDGAR mapping:
Source: SEC inline XBRL segment table
Period: 4Q25
Model row: Segment Analysis!S13 Other
Mapping type: segment
Concepts used: reportable segment Other Revenue = 198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C34" authorId="0">
      <text>
        <r>
          <rPr>
            <b/>
            <color indexed="81"/>
            <family val="2"/>
            <sz val="9"/>
            <rFont val="Tahoma"/>
          </rPr>
          <t>Not Broken up per segment</t>
        </r>
      </text>
    </comment>
    <comment ref="F35" authorId="0">
      <text>
        <r>
          <rPr>
            <b/>
          </rPr>
          <t xml:space="preserve">EDGAR Mapper:
</t>
        </r>
        <r>
          <t>Needs review: Segment Analysis row was not filled because the template label is blank, generic, or does not confidently match an EDGAR reportable segment.</t>
        </r>
      </text>
    </comment>
    <comment ref="G35" authorId="0">
      <text>
        <r>
          <rPr>
            <b/>
          </rPr>
          <t xml:space="preserve">EDGAR Mapper:
</t>
        </r>
        <r>
          <t>Needs review: Segment Analysis row was not filled because the template label is blank, generic, or does not confidently match an EDGAR reportable segment.</t>
        </r>
      </text>
    </comment>
    <comment ref="H35" authorId="0">
      <text>
        <r>
          <rPr>
            <b/>
          </rPr>
          <t xml:space="preserve">EDGAR Mapper:
</t>
        </r>
        <r>
          <t>Needs review: Segment Analysis row was not filled because the template label is blank, generic, or does not confidently match an EDGAR reportable segment.</t>
        </r>
      </text>
    </comment>
    <comment ref="I35" authorId="0">
      <text>
        <r>
          <rPr>
            <b/>
          </rPr>
          <t xml:space="preserve">EDGAR Mapper:
</t>
        </r>
        <r>
          <t>Needs review: Segment Analysis row was not filled because the template label is blank, generic, or does not confidently match an EDGAR reportable segment.</t>
        </r>
      </text>
    </comment>
    <comment ref="K35" authorId="0">
      <text>
        <r>
          <rPr>
            <b/>
          </rPr>
          <t xml:space="preserve">EDGAR Mapper:
</t>
        </r>
        <r>
          <t>Needs review: Segment Analysis row was not filled because the template label is blank, generic, or does not confidently match an EDGAR reportable segment.</t>
        </r>
      </text>
    </comment>
    <comment ref="L35" authorId="0">
      <text>
        <r>
          <rPr>
            <b/>
          </rPr>
          <t xml:space="preserve">EDGAR Mapper:
</t>
        </r>
        <r>
          <t>Needs review: Segment Analysis row was not filled because the template label is blank, generic, or does not confidently match an EDGAR reportable segment.</t>
        </r>
      </text>
    </comment>
    <comment ref="M35" authorId="0">
      <text>
        <r>
          <rPr>
            <b/>
          </rPr>
          <t xml:space="preserve">EDGAR Mapper:
</t>
        </r>
        <r>
          <t>Needs review: Segment Analysis row was not filled because the template label is blank, generic, or does not confidently match an EDGAR reportable segment.</t>
        </r>
      </text>
    </comment>
    <comment ref="N35" authorId="0">
      <text>
        <r>
          <rPr>
            <b/>
          </rPr>
          <t xml:space="preserve">EDGAR Mapper:
</t>
        </r>
        <r>
          <t>Needs review: Segment Analysis row was not filled because the template label is blank, generic, or does not confidently match an EDGAR reportable segment.</t>
        </r>
      </text>
    </comment>
    <comment ref="P35" authorId="0">
      <text>
        <r>
          <rPr>
            <b/>
          </rPr>
          <t xml:space="preserve">EDGAR Mapper:
</t>
        </r>
        <r>
          <t>Needs review: Segment Analysis row was not filled because the template label is blank, generic, or does not confidently match an EDGAR reportable segment.</t>
        </r>
      </text>
    </comment>
    <comment ref="Q35" authorId="0">
      <text>
        <r>
          <rPr>
            <b/>
          </rPr>
          <t xml:space="preserve">EDGAR Mapper:
</t>
        </r>
        <r>
          <t>Needs review: Segment Analysis row was not filled because the template label is blank, generic, or does not confidently match an EDGAR reportable segment.</t>
        </r>
      </text>
    </comment>
    <comment ref="R35" authorId="0">
      <text>
        <r>
          <rPr>
            <b/>
          </rPr>
          <t xml:space="preserve">EDGAR Mapper:
</t>
        </r>
        <r>
          <t>Needs review: Segment Analysis row was not filled because the template label is blank, generic, or does not confidently match an EDGAR reportable segment.</t>
        </r>
      </text>
    </comment>
    <comment ref="S35" authorId="0">
      <text>
        <r>
          <rPr>
            <b/>
          </rPr>
          <t xml:space="preserve">EDGAR Mapper:
</t>
        </r>
        <r>
          <t>Needs review: Segment Analysis row was not filled because the template label is blank, generic, or does not confidently match an EDGAR reportable segment.</t>
        </r>
      </text>
    </comment>
    <comment ref="F39" authorId="0">
      <text>
        <r>
          <rPr>
            <b/>
          </rPr>
          <t xml:space="preserve">EDGAR Mapper:
</t>
        </r>
        <r>
          <t>Calculated as the residual needed for Segment Analysis Operating Income rows to tie to EDGAR consolidated operating income.</t>
        </r>
      </text>
    </comment>
    <comment ref="G39" authorId="0">
      <text>
        <r>
          <rPr>
            <b/>
          </rPr>
          <t xml:space="preserve">EDGAR Mapper:
</t>
        </r>
        <r>
          <t>Calculated as the residual needed for Segment Analysis Operating Income rows to tie to EDGAR consolidated operating income.</t>
        </r>
      </text>
    </comment>
    <comment ref="H39" authorId="0">
      <text>
        <r>
          <rPr>
            <b/>
          </rPr>
          <t xml:space="preserve">EDGAR Mapper:
</t>
        </r>
        <r>
          <t>Calculated as the residual needed for Segment Analysis Operating Income rows to tie to EDGAR consolidated operating income.</t>
        </r>
      </text>
    </comment>
    <comment ref="I39" authorId="0">
      <text>
        <r>
          <rPr>
            <b/>
          </rPr>
          <t xml:space="preserve">EDGAR Mapper:
</t>
        </r>
        <r>
          <t>Calculated as the residual needed for Segment Analysis Operating Income rows to tie to EDGAR consolidated operating income.</t>
        </r>
      </text>
    </comment>
    <comment ref="K39" authorId="0">
      <text>
        <r>
          <rPr>
            <b/>
          </rPr>
          <t xml:space="preserve">EDGAR Mapper:
</t>
        </r>
        <r>
          <t>Calculated as the residual needed for Segment Analysis Operating Income rows to tie to EDGAR consolidated operating income.</t>
        </r>
      </text>
    </comment>
    <comment ref="L39" authorId="0">
      <text>
        <r>
          <rPr>
            <b/>
          </rPr>
          <t xml:space="preserve">EDGAR Mapper:
</t>
        </r>
        <r>
          <t>Calculated as the residual needed for Segment Analysis Operating Income rows to tie to EDGAR consolidated operating income.</t>
        </r>
      </text>
    </comment>
    <comment ref="M39" authorId="0">
      <text>
        <r>
          <rPr>
            <b/>
          </rPr>
          <t xml:space="preserve">EDGAR Mapper:
</t>
        </r>
        <r>
          <t>Calculated as the residual needed for Segment Analysis Operating Income rows to tie to EDGAR consolidated operating income.</t>
        </r>
      </text>
    </comment>
    <comment ref="N39" authorId="0">
      <text>
        <r>
          <rPr>
            <b/>
          </rPr>
          <t xml:space="preserve">EDGAR Mapper:
</t>
        </r>
        <r>
          <t>Calculated as the residual needed for Segment Analysis Operating Income rows to tie to EDGAR consolidated operating income.</t>
        </r>
      </text>
    </comment>
    <comment ref="P39" authorId="0">
      <text>
        <r>
          <rPr>
            <b/>
          </rPr>
          <t xml:space="preserve">EDGAR Mapper:
</t>
        </r>
        <r>
          <t>Calculated as the residual needed for Segment Analysis Operating Income rows to tie to EDGAR consolidated operating income.</t>
        </r>
      </text>
    </comment>
    <comment ref="Q39" authorId="0">
      <text>
        <r>
          <rPr>
            <b/>
          </rPr>
          <t xml:space="preserve">EDGAR Mapper:
</t>
        </r>
        <r>
          <t>Calculated as the residual needed for Segment Analysis Operating Income rows to tie to EDGAR consolidated operating income.</t>
        </r>
      </text>
    </comment>
    <comment ref="R39" authorId="0">
      <text>
        <r>
          <rPr>
            <b/>
          </rPr>
          <t xml:space="preserve">EDGAR Mapper:
</t>
        </r>
        <r>
          <t>Calculated as the residual needed for Segment Analysis Operating Income rows to tie to EDGAR consolidated operating income.</t>
        </r>
      </text>
    </comment>
    <comment ref="S39" authorId="0">
      <text>
        <r>
          <rPr>
            <b/>
          </rPr>
          <t xml:space="preserve">EDGAR Mapper:
</t>
        </r>
        <r>
          <t>Calculated as the residual needed for Segment Analysis Operating Income rows to tie to EDGAR consolidated operating income.</t>
        </r>
      </text>
    </comment>
    <comment ref="C42" authorId="0">
      <text>
        <r>
          <rPr>
            <color theme="1"/>
            <family val="2"/>
            <scheme val="minor"/>
            <sz val="11"/>
            <rFont val="Calibri"/>
          </rPr>
          <t xml:space="preserve">======
ID#AAABbnJBVxw
Luke Brennan    (2025-01-14 21:09:38)
Used to check if the top-down calculation of operating income matches the number here</t>
        </r>
      </text>
    </comment>
    <comment ref="S53" authorId="0">
      <text>
        <r>
          <rPr>
            <b/>
          </rPr>
          <t xml:space="preserve">EDGAR Mapper:
</t>
        </r>
        <r>
          <t>Needs review: Segment Analysis row was not filled because the template label is blank, generic, or does not confidently match an EDGAR reportable segment.</t>
        </r>
      </text>
    </comment>
    <comment ref="C60" authorId="0">
      <text>
        <r>
          <rPr>
            <color theme="1"/>
            <family val="2"/>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family val="2"/>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family val="2"/>
            <scheme val="minor"/>
            <sz val="11"/>
            <rFont val="Calibri"/>
          </rPr>
          <t xml:space="preserve">======
ID#AAABbnJBV2U
Luke Brennan    (2025-01-14 21:09:38)
Yield on U.S. 10-Year Treasury bond</t>
        </r>
      </text>
    </comment>
    <comment ref="G7" authorId="0">
      <text>
        <r>
          <rPr>
            <color theme="1"/>
            <family val="2"/>
            <scheme val="minor"/>
            <sz val="11"/>
            <rFont val="Calibri"/>
          </rPr>
          <t xml:space="preserve">======
ID#AAABbnJBVys
Luke Brennan    (2025-01-14 21:09:38)
Aug 1 ERP</t>
        </r>
      </text>
    </comment>
    <comment ref="G8" authorId="0">
      <text>
        <r>
          <rPr>
            <color theme="1"/>
            <family val="2"/>
            <scheme val="minor"/>
            <sz val="11"/>
            <rFont val="Calibri"/>
          </rPr>
          <t xml:space="preserve">======
ID#AAABbnJBVxQ
Luke Brennan    (2025-01-14 21:09:38)
Can be sourced from Bloomberg's WACC function. Use the rate on company's bonds</t>
        </r>
      </text>
    </comment>
    <comment ref="M8" authorId="0">
      <text>
        <r>
          <rPr>
            <color theme="1"/>
            <family val="2"/>
            <scheme val="minor"/>
            <sz val="11"/>
            <rFont val="Calibri"/>
          </rPr>
          <t xml:space="preserve">======
ID#AAABbnJBVyY
Luke Brennan    (2025-01-14 21:09:38)
Source from Bloomberg "EV" function and hard-code here</t>
        </r>
      </text>
    </comment>
    <comment ref="Q20" authorId="0">
      <text>
        <r>
          <rPr>
            <color theme="1"/>
            <family val="2"/>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family val="2"/>
            <scheme val="minor"/>
            <sz val="11"/>
            <rFont val="Calibri"/>
          </rPr>
          <t xml:space="preserve">======
ID#AAABbnJBVy8
Luke Brennan    (2025-01-14 21:09:38)
Hard-code value from toggles below by doing "paste special values"</t>
        </r>
      </text>
    </comment>
    <comment ref="K26" authorId="0">
      <text>
        <r>
          <rPr>
            <color theme="1"/>
            <family val="2"/>
            <scheme val="minor"/>
            <sz val="11"/>
            <rFont val="Calibri"/>
          </rPr>
          <t xml:space="preserve">======
ID#AAABbnJBV04
Luke Brennan    (2025-01-14 21:09:38)
Hard-code value from toggles below by doing "paste special values"</t>
        </r>
      </text>
    </comment>
    <comment ref="E31" authorId="0">
      <text>
        <r>
          <rPr>
            <b/>
            <color indexed="81"/>
            <family val="2"/>
            <sz val="9"/>
            <rFont val="Tahoma"/>
          </rPr>
          <t>yash chinn:</t>
        </r>
        <r>
          <rPr>
            <color indexed="81"/>
            <family val="2"/>
            <sz val="9"/>
            <rFont val="Tahoma"/>
          </rPr>
          <t xml:space="preserve">
net debt is negative</t>
        </r>
      </text>
    </comment>
    <comment ref="N33" authorId="0">
      <text>
        <r>
          <rPr>
            <color theme="1"/>
            <family val="2"/>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X4" authorId="0">
      <text>
        <r>
          <rPr>
            <color theme="1"/>
            <family val="2"/>
            <scheme val="minor"/>
            <sz val="11"/>
            <rFont val="Calibri"/>
          </rPr>
          <t xml:space="preserve">======
ID#AAABbnJBV0k
Hunter Kornfeind    (2025-01-14 21:09:38)
This confirms if your weights = 100%. If they do not equal 100%, it will say "Check."</t>
        </r>
      </text>
    </comment>
    <comment ref="Y55" authorId="0">
      <text>
        <r>
          <rPr>
            <color theme="1"/>
            <family val="2"/>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J85" authorId="0">
      <text>
        <r>
          <rPr>
            <b/>
            <color indexed="81"/>
            <family val="2"/>
            <sz val="9"/>
            <rFont val="Tahoma"/>
          </rPr>
          <t>yash chinn:</t>
        </r>
        <r>
          <rPr>
            <color indexed="81"/>
            <family val="2"/>
            <sz val="9"/>
            <rFont val="Tahoma"/>
          </rPr>
          <t xml:space="preserve">
current NTM EV/EBITDA multiple; justified as AI/growth outlook improves to be more stable
</t>
        </r>
      </text>
    </comment>
    <comment ref="H144" authorId="0">
      <text>
        <r>
          <rPr>
            <color theme="1"/>
            <family val="2"/>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family val="2"/>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family val="2"/>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family val="2"/>
            <scheme val="minor"/>
            <sz val="11"/>
            <rFont val="Calibri"/>
          </rPr>
          <t xml:space="preserve">======
ID#AAABbnJBVz4
Luke Brennan    (2025-01-14 21:09:38)
Some of these charts are here if you choose to break out individual segment revenue</t>
        </r>
      </text>
    </comment>
    <comment ref="D32" authorId="0">
      <text>
        <r>
          <rPr>
            <color theme="1"/>
            <family val="2"/>
            <scheme val="minor"/>
            <sz val="11"/>
            <rFont val="Calibri"/>
          </rPr>
          <t xml:space="preserve">======
ID#AAABbnJBV0U
Luke Brennan    (2025-01-14 21:09:38)
Manual input for YoY growth in historical year (pull from 10-K, transcript, press release, etc.)</t>
        </r>
      </text>
    </comment>
    <comment ref="L32" authorId="0">
      <text>
        <r>
          <rPr>
            <color theme="1"/>
            <family val="2"/>
            <scheme val="minor"/>
            <sz val="11"/>
            <rFont val="Calibri"/>
          </rPr>
          <t xml:space="preserve">======
ID#AAABbnJBV0g
Luke Brennan    (2025-01-14 21:09:38)
Manual input for YoY growth in historical year (pull from 10-K, transcript, press release, etc.)</t>
        </r>
      </text>
    </comment>
    <comment ref="D52" authorId="0">
      <text>
        <r>
          <rPr>
            <color theme="1"/>
            <family val="2"/>
            <scheme val="minor"/>
            <sz val="11"/>
            <rFont val="Calibri"/>
          </rPr>
          <t xml:space="preserve">======
ID#AAABbnJBV1I
Luke Brennan    (2025-01-14 21:09:38)
Manual input for YoY growth in historical year (pull from 10-K, transcript, press release, etc.)</t>
        </r>
      </text>
    </comment>
    <comment ref="L52" authorId="0">
      <text>
        <r>
          <rPr>
            <color theme="1"/>
            <family val="2"/>
            <scheme val="minor"/>
            <sz val="11"/>
            <rFont val="Calibri"/>
          </rPr>
          <t xml:space="preserve">======
ID#AAABbnJBV0Q
Luke brennan    (2025-01-14 21:09:38)
Manual input for YoY growth in historical year (pull from 10-K, transcript, press release, etc.)</t>
        </r>
      </text>
    </comment>
    <comment ref="D72" authorId="0">
      <text>
        <r>
          <rPr>
            <color theme="1"/>
            <family val="2"/>
            <scheme val="minor"/>
            <sz val="11"/>
            <rFont val="Calibri"/>
          </rPr>
          <t xml:space="preserve">======
ID#AAABbnJBV1c
Luke Brennan    (2025-01-14 21:09:38)
Manual input for YoY growth in historical year (pull from 10-K, transcript, press release, etc.)</t>
        </r>
      </text>
    </comment>
    <comment ref="L72" authorId="0">
      <text>
        <r>
          <rPr>
            <color theme="1"/>
            <family val="2"/>
            <scheme val="minor"/>
            <sz val="11"/>
            <rFont val="Calibri"/>
          </rPr>
          <t xml:space="preserve">======
ID#AAABbnJBV0o
Zach Pfeffer    (2025-01-14 21:09:38)
Manual input for YoY growth in historical year (pull from 10-K, transcript, press release, etc.)</t>
        </r>
      </text>
    </comment>
    <comment ref="D92" authorId="0">
      <text>
        <r>
          <rPr>
            <color theme="1"/>
            <family val="2"/>
            <scheme val="minor"/>
            <sz val="11"/>
            <rFont val="Calibri"/>
          </rPr>
          <t xml:space="preserve">======
ID#AAABbnJBVxo
Luke Brennan    (2025-01-14 21:09:38)
Manual input for YoY growth in historical year (pull from 10-K, transcript, press release, etc.)</t>
        </r>
      </text>
    </comment>
    <comment ref="E114" authorId="0">
      <text>
        <r>
          <rPr>
            <color theme="1"/>
            <family val="2"/>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ID#AAABbnJBVzQ
Luke Brennan    (2025-01-14 21:09:38)
Hard-code in from Bloomberg function "DDIS"</t>
        </r>
      </text>
    </comment>
    <comment ref="D154" authorId="0">
      <text>
        <r>
          <rPr>
            <color theme="1"/>
            <family val="2"/>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family val="2"/>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family val="2"/>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ID#AAABbnJBV1w
Hunter Kornfeind    (2025-01-14 21:09:38)
Change model company's bar color to Owl Fund red in chart.</t>
        </r>
      </text>
    </comment>
    <comment ref="O154" authorId="0">
      <text>
        <r>
          <rPr>
            <color theme="1"/>
            <family val="2"/>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family val="2"/>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<sst xmlns="http://schemas.openxmlformats.org/spreadsheetml/2006/main" count="10073" uniqueCount="2171">
  <si>
    <t>Font Toggle</t>
  </si>
  <si>
    <t>$ in Millions Except Per Share Data</t>
  </si>
  <si>
    <t>Report</t>
  </si>
  <si>
    <t>x</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</si>
  <si>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</si>
  <si>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</si>
  <si>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</si>
  <si>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</si>
  <si>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</si>
  <si>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</si>
  <si>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</si>
  <si>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</si>
  <si>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</si>
  <si>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</si>
  <si>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</si>
  <si>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</si>
  <si>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2013-2022 Late Cycle EV/EBITDA</t>
  </si>
  <si>
    <t>Perpetuity Growth Method</t>
  </si>
  <si>
    <t>P/E Multiple Method</t>
  </si>
  <si>
    <t>1 Year LTM P/E</t>
  </si>
  <si>
    <t>Company Name</t>
  </si>
  <si>
    <t>Republic Services, Inc.</t>
  </si>
  <si>
    <t>Ticker</t>
  </si>
  <si>
    <t>RSG</t>
  </si>
  <si>
    <t>2013-2022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</si>
  <si>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</si>
  <si>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</si>
  <si>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</si>
  <si>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</si>
  <si>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</si>
  <si>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</si>
  <si>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</si>
  <si>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</si>
  <si>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</si>
  <si>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</si>
  <si>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</si>
  <si>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</si>
  <si>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</si>
  <si>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</si>
  <si>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</si>
  <si>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</si>
  <si>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</si>
  <si>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</si>
  <si>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</si>
  <si>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</si>
  <si>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</si>
  <si>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</si>
  <si>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</si>
  <si>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</si>
  <si>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</si>
  <si>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</si>
  <si>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</si>
  <si>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</si>
  <si>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</si>
  <si>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</si>
  <si>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</si>
  <si>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</si>
  <si>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</si>
  <si>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</si>
  <si>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</si>
  <si>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</si>
  <si>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</si>
  <si>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</si>
  <si>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</si>
  <si>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</si>
  <si>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</si>
  <si>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</si>
  <si>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</si>
  <si>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</si>
  <si>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</si>
  <si>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</si>
  <si>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</si>
  <si>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</si>
  <si>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</si>
  <si>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</si>
  <si>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</si>
  <si>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</si>
  <si>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</si>
  <si>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</si>
  <si>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</si>
  <si>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</si>
  <si>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</si>
  <si>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</si>
  <si>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</si>
  <si>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</si>
  <si>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</si>
  <si>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</si>
  <si>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</si>
  <si>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</si>
  <si>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</si>
  <si>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</si>
  <si>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</si>
  <si>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</si>
  <si>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</si>
  <si>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</si>
  <si>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</si>
  <si>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</si>
  <si>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</si>
  <si>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</si>
  <si>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</si>
  <si>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</si>
  <si>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</si>
  <si>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</si>
  <si>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</si>
  <si>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</si>
  <si>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</si>
  <si>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</si>
  <si>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</si>
  <si>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</si>
  <si>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</si>
  <si>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</si>
  <si>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</si>
  <si>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</si>
  <si>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</si>
  <si>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</si>
  <si>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</si>
  <si>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</si>
  <si>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</si>
  <si>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</si>
  <si>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</si>
  <si>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</si>
  <si>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</si>
  <si>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</si>
  <si>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</si>
  <si>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</si>
  <si>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</si>
  <si>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</si>
  <si>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</si>
  <si>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</si>
  <si>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</si>
  <si>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</si>
  <si>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</si>
  <si>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</si>
  <si>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</si>
  <si>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</si>
  <si>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</si>
  <si>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</si>
  <si>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</si>
  <si>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</si>
  <si>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</si>
  <si>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</si>
  <si>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</si>
  <si>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</si>
  <si>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</si>
  <si>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</si>
  <si>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</si>
  <si>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</si>
  <si>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</si>
  <si>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</si>
  <si>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</si>
  <si>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</si>
  <si>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</si>
  <si>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</si>
  <si>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</si>
  <si>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</si>
  <si>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</si>
  <si>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</si>
  <si>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</si>
  <si>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</si>
  <si>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</si>
  <si>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</si>
  <si>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</si>
  <si>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</si>
  <si>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</si>
  <si>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</si>
  <si>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</si>
  <si>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</si>
  <si>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</si>
  <si>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</si>
  <si>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</si>
  <si>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</si>
  <si>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</si>
  <si>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</si>
  <si>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</si>
  <si>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</si>
  <si>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</si>
  <si>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</si>
  <si>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</si>
  <si>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</si>
  <si>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</si>
  <si>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</si>
  <si>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</si>
  <si>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</si>
  <si>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</si>
  <si>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</si>
  <si>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</si>
  <si>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</si>
  <si>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</si>
  <si>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</si>
  <si>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</si>
  <si>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</si>
  <si>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</si>
  <si>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</si>
  <si>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</si>
  <si>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</si>
  <si>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</si>
  <si>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</si>
  <si>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</si>
  <si>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</si>
  <si>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</si>
  <si>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</si>
  <si>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</si>
  <si>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</si>
  <si>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</si>
  <si>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</si>
  <si>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</si>
  <si>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</si>
  <si>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</si>
  <si>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</si>
  <si>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</si>
  <si>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</si>
  <si>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</si>
  <si>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</si>
  <si>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</si>
  <si>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</si>
  <si>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</si>
  <si>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</si>
  <si>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</si>
  <si>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</si>
  <si>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</si>
  <si>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</si>
  <si>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</si>
  <si>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</si>
  <si>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</si>
  <si>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</si>
  <si>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</si>
  <si>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</si>
  <si>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</si>
  <si>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</si>
  <si>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</si>
  <si>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</si>
  <si>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</si>
  <si>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</si>
  <si>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</si>
  <si>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</si>
  <si>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</si>
  <si>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</si>
  <si>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</si>
  <si>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</si>
  <si>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</si>
  <si>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</si>
  <si>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</si>
  <si>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</si>
  <si>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</si>
  <si>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</si>
  <si>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</si>
  <si>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</si>
  <si>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</si>
  <si>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</si>
  <si>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</si>
  <si>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</si>
  <si>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</si>
  <si>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</si>
  <si>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</si>
  <si>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</si>
  <si>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</si>
  <si>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</si>
  <si>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</si>
  <si>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</si>
  <si>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</si>
  <si>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</si>
  <si>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</si>
  <si>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</si>
  <si>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</si>
  <si>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</si>
  <si>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</si>
  <si>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</si>
  <si>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</si>
  <si>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</si>
  <si>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</si>
  <si>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</si>
  <si>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</si>
  <si>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</si>
  <si>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</si>
  <si>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</si>
  <si>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</si>
  <si>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</si>
  <si>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</si>
  <si>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</si>
  <si>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</si>
  <si>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</si>
  <si>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</si>
  <si>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</si>
  <si>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</si>
  <si>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</si>
  <si>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</si>
  <si>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</si>
  <si>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</si>
  <si>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</si>
  <si>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</si>
  <si>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</si>
  <si>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EBITDA Adjustment</t>
  </si>
  <si>
    <t>Adj. 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</si>
  <si>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</si>
  <si>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</si>
  <si>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</si>
  <si>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</si>
  <si>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</si>
  <si>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</si>
  <si>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</si>
  <si>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</si>
  <si>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</si>
  <si>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</si>
  <si>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</si>
  <si>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</si>
  <si>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</si>
  <si>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</si>
  <si>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</si>
  <si>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</si>
  <si>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</si>
  <si>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</si>
  <si>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</si>
  <si>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</si>
  <si>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</si>
  <si>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</si>
  <si>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</si>
  <si>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</si>
  <si>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</si>
  <si>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</si>
  <si>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</si>
  <si>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</si>
  <si>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</si>
  <si>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</si>
  <si>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</si>
  <si>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Stock Based-Compensation</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</si>
  <si>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</si>
  <si>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</si>
  <si>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</si>
  <si>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</si>
  <si>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</si>
  <si>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</si>
  <si>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</si>
  <si>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</si>
  <si>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</si>
  <si>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</si>
  <si>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</si>
  <si>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</si>
  <si>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</si>
  <si>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</si>
  <si>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</si>
  <si>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</si>
  <si>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</si>
  <si>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</si>
  <si>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</si>
  <si>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</si>
  <si>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</si>
  <si>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</si>
  <si>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</si>
  <si>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</si>
  <si>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</si>
  <si>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</si>
  <si>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</si>
  <si>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</si>
  <si>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</si>
  <si>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</si>
  <si>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</si>
  <si>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</si>
  <si>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</si>
  <si>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</si>
  <si>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</si>
  <si>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</si>
  <si>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</si>
  <si>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</si>
  <si>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</si>
  <si>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</si>
  <si>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</si>
  <si>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</si>
  <si>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</si>
  <si>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</si>
  <si>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</si>
  <si>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</si>
  <si>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</si>
  <si>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</si>
  <si>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</si>
  <si>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</si>
  <si>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</si>
  <si>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</si>
  <si>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</si>
  <si>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</si>
  <si>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</si>
  <si>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</si>
  <si>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</si>
  <si>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</si>
  <si>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</si>
  <si>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</si>
  <si>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</si>
  <si>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</si>
  <si>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</si>
  <si>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</si>
  <si>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</si>
  <si>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</si>
  <si>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</si>
  <si>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</si>
  <si>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</si>
  <si>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</si>
  <si>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</si>
  <si>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</si>
  <si>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</si>
  <si>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</si>
  <si>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</si>
  <si>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</si>
  <si>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</si>
  <si>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</si>
  <si>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</si>
  <si>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</si>
  <si>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</si>
  <si>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</si>
  <si>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</si>
  <si>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</si>
  <si>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</si>
  <si>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</si>
  <si>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</si>
  <si>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</si>
  <si>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</si>
  <si>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</si>
  <si>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</si>
  <si>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</si>
  <si>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</si>
  <si>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</si>
  <si>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</si>
  <si>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</si>
  <si>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</si>
  <si>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</si>
  <si>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</si>
  <si>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</si>
  <si>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</si>
  <si>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</si>
  <si>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</si>
  <si>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</si>
  <si>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</si>
  <si>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</si>
  <si>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</si>
  <si>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</si>
  <si>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</si>
  <si>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</si>
  <si>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</si>
  <si>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</si>
  <si>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</si>
  <si>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</si>
  <si>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</si>
  <si>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</si>
  <si>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</si>
  <si>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</si>
  <si>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</si>
  <si>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</si>
  <si>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</si>
  <si>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a</t>
  </si>
  <si>
    <t>4Q26e</t>
  </si>
  <si>
    <t>Revenue Mix</t>
  </si>
  <si>
    <t>Collection</t>
  </si>
  <si>
    <t>Landfill</t>
  </si>
  <si>
    <t>Environmental solutions</t>
  </si>
  <si>
    <t>Transfer</t>
  </si>
  <si>
    <t>Other</t>
  </si>
  <si>
    <t>Professional Services and Other</t>
  </si>
  <si>
    <t>""</t>
  </si>
  <si>
    <t>Boeing Military Aircraft</t>
  </si>
  <si>
    <t>N/A</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</si>
  <si>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</si>
  <si>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</si>
  <si>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</si>
  <si>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</si>
  <si>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</si>
  <si>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</si>
  <si>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</si>
  <si>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</si>
  <si>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</si>
  <si>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</si>
  <si>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</si>
  <si>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</si>
  <si>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</si>
  <si>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</si>
  <si>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</si>
  <si>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</si>
  <si>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</si>
  <si>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</si>
  <si>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</si>
  <si>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</si>
  <si>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</si>
  <si>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</si>
  <si>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</si>
  <si>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</si>
  <si>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</si>
  <si>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</si>
  <si>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</si>
  <si>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</si>
  <si>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</si>
  <si>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</si>
  <si>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</si>
  <si>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</si>
  <si>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</si>
  <si>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</si>
  <si>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</si>
  <si>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</si>
  <si>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gEAAB5DSVEuMC5JUV9DT01QQU5ZX05BTUUuMi82LzIwMjYFAAAAAAAAAAgAAAAUKEludmFsaWQgSWRlbnRpZmllcimhX1qewWTeCFwMymDCZN4IJUNJUS5JUTEwNTQ0OC5JUV9DT01QQU5ZX05BTUUuMi82LzIwMjYBAAAA6JsBAAMAAAAYSW5maW5lb24gVGVjaG5vbG9naWVzIEFHAKFfWp7BZN4ILAwDt8Fk3gglQ0lRLklRMjUxNDExLklRX0NPTVBBTllfTkFNRS4yLzYvMjAyNgEAAAAT1gMAAwAAABRBbmFsb2cgRGV2aWNlcywgSW5jLgChX1qewWTeCEZ4ArfBZN4IJUNJUS5JUTQxMTk1MC5JUV9DT01QQU5ZX05BTUUuMi82LzIwMjYBAAAALkkGAAMAAAAcT04gU2VtaWNvbmR1Y3RvciBDb3Jwb3JhdGlvbgChX1qewWTeCC7TAbfBZN4IJENJUS5JUTMxNTAwLklRX0NPTVBBTllfTkFNRS4yLzYvMjAyNgEAAAAMewAAAwAAACFNaWNyb2NoaXAgVGVjaG5vbG9neSBJbmNvcnBvcmF0ZWQAoV9ansFk3ghqIQG3wWTeCCVDSVEuSVE5MzQ0NjcuSVFfQ09NUEFOWV9OQU1FLjIvNi8yMDI2AQAAAENCDgADAAAAF05YUCBTZW1pY29uZHVjdG9ycyBOLlYuAKFfWp7BZN4IaiEBt8Fk3gglQ0lRLklRMTQwMjgzLklRX0NPTVBBTllfTkFNRS4yLzYvMjAyNgEAAAD7IwIAAwAAAB5UZXhhcyBJbnN0cnVtZW50cyBJbmNvcnBvcmF0ZWQAoV9ansFk3gi+UP62wWTeCBpDSVEuMC5JUV9CRVRB</t>
  </si>
  <si>
    <t>XzVZUi4yLzYvMjAyNgUAAAAAAAAACAAAABQoSW52YWxpZCBJZGVudGlmaWVyKaFfWp7BZN4IpYHGYMJk3gghQ0lRLklRMTQwMjgzLklRX0JFVEFfNVlSLjIvNi8yMDI2AQAAAPsjAgACAAAAETAuOTk1NTQxNjI5NjI5MTExAKFfWp7BZN4IKB4Jt8Fk3gghQ0lRLklRMjUxNDExLklRX0JFVEFfNVlSLjIvNi8yMDI2AQAAABPWAwACAAAAEDEuMDMxNjc4MDI3MTgxODMAoV9ansFk3gg+kge3wWTeCCBDSVEuSVEzMTUwMC5JUV9CRVRBXzVZUi4yLzYvMjAyNgEAAAAMewAAAgAAABAxLjQzODI0MzcxMTc1NzcxAKFfWp7BZN4Ine4Gt8Fk3gghQ0lRLklROTM0NDY3LklRX0JFVEFfNVlSLjIvNi8yMDI2AQAAAENCDgACAAAAEDEuNDU4MzQ0NjQ5MjY2NTcAoV9ansFk3gid7ga3wWTeCCFDSVEuSVExMDU0NDguSVFfQkVUQV81WVIuMi82LzIwMjYBAAAA6JsBAAIAAAAQMS42NzMzOTIxNDQ0ODg1OQChX1qewWTeCHpvBrfBZN4IIUNJUS5JUTQxMTk1MC5JUV9CRVRBXzVZUi4yLzYvMjAyNgEAAAAuSQYAAgAAABAxLjU0MjI0NTg2NDM3ODM2AKFfWp7BZN4I6gAEt8Fk3ggZQ0lRLklRMTQwMjgzLklRX1NQX0xDX0xULgEAAAD7IwIAAwAAAAJBKwChX1qewWTeCJx1CbfBZN4IIUNJUS5JUTI1MTQxMS5JUV9TUF9PVVRMT09LX1dBVENILgEAAAAT1gMAAwAAAAhQb3NpdGl2ZQChX1qewWTeCGRFCbfBZN4IGENJUS5JUTMx</t>
  </si>
  <si>
    <t>NTAwLklRX1NQX0xDX0xULgEAAAAMewAAAwAAAAJOUgChX1qewWTeCCgeCbfBZN4IGUNJUS5JUTQxMTk1MC5JUV9TUF9MQ19MVC4BAAAALkkGAAMAAAADQkIrAKFfWp7BZN4IKB4Jt8Fk3gghQ0lRLklRMTQwMjgzLklRX1NQX09VVExPT0tfV0FUQ0guAQAAAPsjAgADAAAABlN0YWJsZQChX1qewWTeCCgeCbfBZN4IEkNJUS4wLklRX1NQX0xDX0xULgUAAAAAAAAACAAAABQoSW52YWxpZCBJZGVudGlmaWVyKaFfWp7BZN4IpYHGYMJk3gggQ0lRLklRMzE1MDAuSVFfU1BfT1VUTE9PS19XQVRDSC4BAAAADHsAAAMAAAACTlIAoV9ansFk3giY7Qi3wWTeCBpDSVEuMC5JUV9TUF9PVVRMT09LX1dBVENILgUAAAAAAAAACAAAABQoSW52YWxpZCBJZGVudGlmaWVyKaFfWp7BZN4IpYHGYMJk3ggZQ0lRLklROTM0NDY3LklRX1NQX0xDX0xULgEAAABDQg4AAwAAAARCQkIrAKFfWp7BZN4I02oIt8Fk3gghQ0lRLklRMTA1NDQ4LklRX1NQX09VVExPT0tfV0FUQ0guAQAAAOibAQADAAAABlN0YWJsZQChX1qewWTeCKEYCLfBZN4IGUNJUS5JUTI1MTQxMS5JUV9TUF9MQ19MVC4BAAAAE9YDAAMAAAACQS0AoV9ansFk3gid7ga3wWTeCCFDSVEuSVE0MTE5NTAuSVFfU1BfT1VUTE9PS19XQVRDSC4BAAAALkkGAAMAAAAGU3RhYmxlAKFfWp7BZN4IipYGt8Fk3ggZQ0lRLklRMTA1NDQ4LklRX1NQX0xDX0xULgEAAADomwEAAwAA</t>
  </si>
  <si>
    <t>AARCQkIrAKFfWp7BZN4IP6gEt8Fk3gghQ0lRLklROTM0NDY3LklRX1NQX09VVExPT0tfV0FUQ0guAQAAAENCDgADAAAABlN0YWJsZQChX1qewWTeCOoABLfBZN4IG0NJUS4wLklRX1RFVl9UT1RBTF9SRVYuMjAwMAUAAAAAAAAACAAAABQoSW52YWxpZCBJZGVudGlmaWVyKaFfWp7BZN4Iz+DJYMJk3ggYQ0lRLjAuSVFfVEVWX0VCSVREQS4yMDAwBQAAAAAAAAAIAAAAFChJbnZhbGlkIElkZW50aWZpZXIpoV9ansFk3gjP4MlgwmTeCBVDSVEuMC5JUV9QRV9FWENMLjIwMDAFAAAAAAAAAAgAAAAUKEludmFsaWQgSWRlbnRpZmllcimhX1qewWTeCFwMymDCZN4IH0NJUS5JUTI1MTQxMS5JUV9URVZfRUJJVERBLjIwMDABAAAAE9YDAAIAAAAPMzIuMDc3MzA1MzkzOTA5AQcAAAAFAAAAATEBAAAACy0xOTE0MjI2MzYyAwAAAAEwAgAAAAYxMDAwNjMEAAAAATAHAAAACDIvNC8yMDI2CAAAAAgyLzQvMjAyNqFfWp7BZN4IG9UCt8Fk3ggiQ0lRLklRMTQwMjgzLklRX1RFVl9UT1RBTF9SRVYuMjAwMAEAAAD7IwIAAgAAABAxMS45NTMxNDEwNDczOTI4AQcAAAAFAAAAATEBAAAACy0xOTA4ODYyNjQ0AwAAAAEwAgAAAAYxMDAwNjEEAAAAATAHAAAACDIvNC8yMDI2CAAAAAgyLzQvMjAyNqFfWp7BZN4IG9UCt8Fk3ggcQ0lRLklRMTQwMjgzLklRX1BFX0VYQ0wuMjAwMAEAAAD7IwIAAgAAABA0MC45MjYxOTY2MjEyNTcy</t>
  </si>
  <si>
    <t>AQcAAAAFAAAAATEBAAAACy0xOTA4ODYyNjQ0AwAAAAEwAgAAAAYxMDAwNjYEAAAAATAHAAAACDIvNC8yMDI2CAAAAAgyLzQvMjAyNqFfWp7BZN4IG9UCt8Fk3ggfQ0lRLklRMTQwMjgzLklRX1RFVl9FQklUREEuMjAwMAEAAAD7IwIAAgAAABAyNi4yMjkyNjc4MDgzODkyAQcAAAAFAAAAATEBAAAACy0xOTA4ODYyNjQ0AwAAAAEwAgAAAAYxMDAwNjMEAAAAATAHAAAACDIvNC8yMDI2CAAAAAgyLzQvMjAyNqFfWp7BZN4IC6ECt8Fk3ggfQ0lRLklRMTA1NDQ4LklRX1RFVl9FQklUREEuMjAwMAEAAADomwEAAgAAABAxNC4yMzUxNTgzNTU3Nzk5AQcAAAAFAAAAATEBAAAACy0xOTA4MDI1MDI0AwAAAAEwAgAAAAYxMDAwNjMEAAAAATAHAAAACDIvNS8yMDI2CAAAAAgyLzUvMjAyNqFfWp7BZN4IC6ECt8Fk3ggbQ0lRLklRMzE1MDAuSVFfUEVfRVhDTC4yMDAwAQAAAAx7AAADAAAAAk5NAQcAAAAFAAAAATEBAAAACy0xOTE4MTY5MzE4AwAAAAEwAgAAAAYxMDAwNjYEAAAAATAHAAAACDIvNC8yMDI2CAAAAAgyLzQvMjAyNqFfWp7BZN4IQPoBt8Fk3ggfQ0lRLklROTM0NDY3LklRX1RFVl9FQklUREEuMjAwMAEAAABDQg4AAgAAABAxNi4zMjU1MjEwMDUxNzQ0AQcAAAAFAAAAATEBAAAACy0xOTA4MTcxNTk3AwAAAAEwAgAAAAYxMDAwNjMEAAAAATAHAAAACDIvNC8yMDI2CAAAAAgyLzQvMjAyNqFfWp7BZN4IQPoB</t>
  </si>
  <si>
    <t>t8Fk3ggcQ0lRLklRMjUxNDExLklRX1BFX0VYQ0wuMjAwMAEAAAAT1gMAAgAAABA3MC4yNzE5Mjk4MjQ1NjE0AQcAAAAFAAAAATEBAAAACy0xOTE0MjI2MzYyAwAAAAEwAgAAAAYxMDAwNjYEAAAAATAHAAAACDIvNC8yMDI2CAAAAAgyLzQvMjAyNqFfWp7BZN4ILtMBt8Fk3ggiQ0lRLklRNDExOTUwLklRX1RFVl9UT1RBTF9SRVYuMjAwMAEAAAAuSQYAAgAAABA0LjE2MTgzNTI2NDM0NTk3AQcAAAAFAAAAATEBAAAACy0xOTE4Njc5MDg3AwAAAAEwAgAAAAYxMDAwNjEEAAAAATAHAAAACDIvNC8yMDI2CAAAAAgyLzQvMjAyNqFfWp7BZN4IaiEBt8Fk3ggiQ0lRLklRMTA1NDQ4LklRX1RFVl9UT1RBTF9SRVYuMjAwMAEAAADomwEAAgAAABAzLjk4MTA2NzQ0MDg0MTI3AQcAAAAFAAAAATEBAAAACy0xOTA4MDI1MDI0AwAAAAEwAgAAAAYxMDAwNjEEAAAAATAHAAAACDIvNS8yMDI2CAAAAAgyLzUvMjAyNqFfWp7BZN4I+ugAt8Fk3ggcQ0lRLklRNDExOTUwLklRX1BFX0VYQ0wuMjAwMAEAAAAuSQYAAgAAABA4Mi4yMDkzNDYzNzg3MzUyAQcAAAAFAAAAATEBAAAACy0xOTE4Njc5MDg3AwAAAAEwAgAAAAYxMDAwNjYEAAAAATAHAAAACDIvNC8yMDI2CAAAAAgyLzQvMjAyNqFfWp7BZN4I+ugAt8Fk3gghQ0lRLklRMzE1MDAuSVFfVEVWX1RPVEFMX1JFVi4yMDAwAQAAAAx7AAACAAAAEDExLjI2NTU2MjU4MjgwNzkB</t>
  </si>
  <si>
    <t>BwAAAAUAAAABMQEAAAALLTE5MTgxNjkzMTgDAAAAATACAAAABjEwMDA2MQQAAAABMAcAAAAIMi80LzIwMjYIAAAACDIvNC8yMDI2oV9ansFk3gjIKwC3wWTeCBxDSVEuSVE5MzQ0NjcuSVFfUEVfRVhDTC4yMDAwAQAAAENCDgACAAAAEDI4LjUzNTg0OTA1NjYwMzgBBwAAAAUAAAABMQEAAAALLTE5MDgxNzE1OTcDAAAAATACAAAABjEwMDA2NgQAAAABMAcAAAAIMi80LzIwMjYIAAAACDIvNC8yMDI2oV9ansFk3gjIKwC3wWTeCB5DSVEuSVEzMTUwMC5JUV9URVZfRUJJVERBLjIwMDABAAAADHsAAAIAAAAQNTAuNzM3NzkwODk0NzA3NgEHAAAABQAAAAExAQAAAAstMTkxODE2OTMxOAMAAAABMAIAAAAGMTAwMDYzBAAAAAEwBwAAAAgyLzQvMjAyNggAAAAIMi80LzIwMjahX1qewWTeCMgrALfBZN4IH0NJUS5JUTQxMTk1MC5JUV9URVZfRUJJVERBLjIwMDABAAAALkkGAAIAAAAQMTMuMjgxMzg0MzQ2OTQxNwEHAAAABQAAAAExAQAAAAstMTkxODY3OTA4NwMAAAABMAIAAAAGMTAwMDYzBAAAAAEwBwAAAAgyLzQvMjAyNggAAAAIMi80LzIwMjahX1qewWTeCKvd/7bBZN4IIkNJUS5JUTI1MTQxMS5JUV9URVZfVE9UQUxfUkVWLjIwMDABAAAAE9YDAAIAAAAPMTQuNjkwNDg5NTAwNDc0AQcAAAAFAAAAATEBAAAACy0xOTE0MjI2MzYyAwAAAAEwAgAAAAYxMDAwNjEEAAAAATAHAAAACDIvNC8yMDI2CAAAAAgyLzQv</t>
  </si>
  <si>
    <t>MjAyNqFfWp7BZN4Inrb/tsFk3ggcQ0lRLklRMTA1NDQ4LklRX1BFX0VYQ0wuMjAwMAEAAADomwEAAgAAABA1My43NzQ4MjIzOTU2Nzc4AQcAAAAFAAAAATEBAAAACy0xOTA4MDI1MDI0AwAAAAEwAgAAAAYxMDAwNjYEAAAAATAHAAAACDIvNS8yMDI2CAAAAAgyLzUvMjAyNqFfWp7BZN4I2eT+tsFk3ggiQ0lRLklROTM0NDY3LklRX1RFVl9UT1RBTF9SRVYuMjAwMAEAAABDQg4AAgAAABA1LjQxNTY3MTI0Mzg3MTU1AQcAAAAFAAAAATEBAAAACy0xOTA4MTcxNTk3AwAAAAEwAgAAAAYxMDAwNjEEAAAAATAHAAAACDIvNC8yMDI2CAAAAAgyLzQvMjAyNqFfWp7BZN4IHGX+tsFk3ggnQ0lRLklRMTA1NDQ4LklRX0RJVklERU5EX1lJRUxELjIvNi8yMDI2AQAAAOibAQACAAAABjAuODY4MwChX1qewWTeCGRFCbfBZN4IFUNJUS4wLklRX1RFVi4yLzYvMjAyNgUAAAAAAAAACAAAABQoSW52YWxpZCBJZGVudGlmaWVyKaFfWp7BZN4Iz+DJYMJk3gggQ0lRLjAuSVFfRElWSURFTkRfWUlFTEQuMi82LzIwMjYFAAAAAAAAAAgAAAAUKEludmFsaWQgSWRlbnRpZmllcimhX1qewWTeCKWBxmDCZN4IJ0NJUS5JUTkzNDQ2Ny5JUV9ESVZJREVORF9ZSUVMRC4yLzYvMjAyNgEAAABDQg4AAgAAAAYxLjc4NzgAoV9ansFk3giY7Qi3wWTeCBtDSVEuMC5JUV9NQVJLRVRDQVAuMi82LzIwMjYFAAAAAAAAAAgAAAAUKEludmFsaWQg</t>
  </si>
  <si>
    <t>SWRlbnRpZmllcimhX1qewWTeCM/gyWDCZN4IJkNJUS5JUTMxNTAwLklRX0RJVklERU5EX1lJRUxELjIvNi8yMDI2AQAAAAx7AAACAAAABjIuMzI2NAChX1qewWTeCH3CB7fBZN4IJ0NJUS5JUTQxMTk1MC5JUV9ESVZJREVORF9ZSUVMRC4yLzYvMjAyNgEAAAAuSQYAAwAAAAAAoV9ansFk3ghB0wW3wWTeCCdDSVEuSVEyNTE0MTEuSVFfRElWSURFTkRfWUlFTEQuMi82LzIwMjYBAAAAE9YDAAIAAAAGMS4yMzU4AKFfWp7BZN4IqA8Ft8Fk3ggnQ0lRLklRMTQwMjgzLklRX0RJVklERU5EX1lJRUxELjIvNi8yMDI2AQAAAPsjAgACAAAABjIuNTQ3OQChX1qewWTeCD+oBLfBZN4IIkNJUS5JUTQxMTk1MC5JUV9NQVJLRVRDQVAuMi82LzIwMjYBAAAALkkGAAIAAAAMMjQ5NzEuNjA0MjQ5AQYAAAAFAAAAATEBAAAACy0xOTE4Njc5ODY5AwAAAAMxNjACAAAABjEwMDA1NAQAAAABMAcAAAAIMi80LzIwMjahX1qewWTeCCwMA7fBZN4IHENJUS5JUTkzNDQ2Ny5JUV9URVYuMi82LzIwMjYBAAAAQ0IOAAIAAAAMNjY0NDQuODcwNDkxAQYAAAAFAAAAATEBAAAACy0xOTA4MTcwMTUyAwAAAAMxNjACAAAABjEwMDA2MAQAAAABMAcAAAAIMi80LzIwMjahX1qewWTeCCwMA7fBZN4IHENJUS5JUTQxMTk1MC5JUV9URVYuMi82LzIwMjYBAAAALkkGAAIAAAAMMjU3NTIuNjA0MjQ4AQYAAAAFAAAAATEBAAAACy0xOTE4Njc5ODY5</t>
  </si>
  <si>
    <t>AwAAAAMxNjACAAAABjEwMDA2MAQAAAABMAcAAAAIMi80LzIwMjahX1qewWTeCBvVArfBZN4IIkNJUS5JUTEwNTQ0OC5JUV9NQVJLRVRDQVAuMi82LzIwMjYBAAAA6JsBAAIAAAAMNTM4OTcuOTA0ODY5AQYAAAAFAAAAATEBAAAACy0xOTA4MDI1MjM1AwAAAAI1MAIAAAAGMTAwMDU0BAAAAAEwBwAAAAgyLzUvMjAyNqFfWp7BZN4IC6ECt8Fk3ggcQ0lRLklRMjUxNDExLklRX1RFVi4yLzYvMjAyNgEAAAAT1gMAAgAAAA0xNjE4ODQuODg5OTgxAQYAAAAFAAAAATEBAAAACy0xOTE0MjI2MzY0AwAAAAMxNjACAAAABjEwMDA2MAQAAAABMAcAAAAIMi80LzIwMjahX1qewWTeCAuhArfBZN4IHENJUS5JUTE0MDI4My5JUV9URVYuMi82LzIwMjYBAAAA+yMCAAIAAAAJMjExMzU1LjQ0AQYAAAAFAAAAATEBAAAACy0xOTA4ODYxNDgxAwAAAAMxNjACAAAABjEwMDA2MAQAAAABMAcAAAAIMi80LzIwMjahX1qewWTeCEZ4ArfBZN4IIkNJUS5JUTI1MTQxMS5JUV9NQVJLRVRDQVAuMi82LzIwMjYBAAAAE9YDAAIAAAANMTU2NTc2LjE0Njk4MgEGAAAABQAAAAExAQAAAAstMTkxNDIyNjM2NAMAAAADMTYwAgAAAAYxMDAwNTQEAAAAATAHAAAACDIvNC8yMDI2oV9ansFk3ghA+gG3wWTeCCJDSVEuSVE5MzQ0NjcuSVFfTUFSS0VUQ0FQLjIvNi8yMDI2AQAAAENCDgACAAAADDU3MDk0Ljg3MDQ5MQEGAAAABQAAAAExAQAAAAst</t>
  </si>
  <si>
    <t>MTkwODE3MDE1MgMAAAADMTYwAgAAAAYxMDAwNTQEAAAAATAHAAAACDIvNC8yMDI2oV9ansFk3ggu0wG3wWTeCBxDSVEuSVExMDU0NDguSVFfVEVWLjIvNi8yMDI2AQAAAOibAQACAAAADDU5MzE3LjkwNDg2OAEGAAAABQAAAAExAQAAAAstMTkwODAyNTIzNQMAAAACNTACAAAABjEwMDA2MAQAAAABMAcAAAAIMi81LzIwMjahX1qewWTeCJKrAbfBZN4IIkNJUS5JUTE0MDI4My5JUV9NQVJLRVRDQVAuMi82LzIwMjYBAAAA+yMCAAIAAAAJMjAyMTg4LjQ0AQYAAAAFAAAAATEBAAAACy0xOTA4ODYxNDgxAwAAAAMxNjACAAAABjEwMDA1NAQAAAABMAcAAAAIMi80LzIwMjahX1qewWTeCNx9AbfBZN4IIUNJUS5JUTMxNTAwLklRX01BUktFVENBUC4yLzYvMjAyNgEAAAAMewAAAgAAAAw0MjI3OS4xNTU4MjQBBgAAAAUAAAABMQEAAAALLTE5MTgxNzEwODcDAAAAAzE2MAIAAAAGMTAwMDU0BAAAAAEwBwAAAAgyLzQvMjAyNqFfWp7BZN4Ih5gAt8Fk3ggbQ0lRLklRMzE1MDAuSVFfVEVWLjIvNi8yMDI2AQAAAAx7AAACAAAADDQ3NDU1LjA1NTgyMwEGAAAABQAAAAExAQAAAAstMTkxODE3MTA4NwMAAAADMTYwAgAAAAYxMDAwNjAEAAAAATAHAAAACDIvNC8yMDI2oV9ansFk3gi4BAC3wWTeCBhDSVEuMC5JUV9FQklUREFfSU5ULjEwMDAFAAAAAAAAAAgAAAAUKEludmFsaWQgSWRlbnRpZmllcil8iVqewWTeCApXxmDC</t>
  </si>
  <si>
    <t>ZN4IIENJUS4wLklRX1RPVEFMX0RFQlRfQ0FQSVRBTC4xMDAwBQAAAAAAAAAIAAAAFChJbnZhbGlkIElkZW50aWZpZXIpfIlansFk3ggKV8ZgwmTeCBxDSVEuMC5JUV9ESUxVVF9FUFNfSU5DTC4xMDAwBQAAAAAAAAAIAAAAFChJbnZhbGlkIElkZW50aWZpZXIpurBansFk3ghcDMpgwmTeCBtDSVEuMC5JUV9DVVJSRU5UX1JBVElPLjEwMDAFAAAAAAAAAAgAAAAUKEludmFsaWQgSWRlbnRpZmllcil8iVqewWTeCKWBxmDCZN4IHkNJUS4wLklRX0VCSVREQV9DQVBFWF9JTlQuMTAwMAUAAAAAAAAACAAAABQoSW52YWxpZCBJZGVudGlmaWVyKXyJWp7BZN4IpYHGYMJk3ggfQ0lRLjAuSVFfVE9UQUxfREVCVF9FUVVJVFkuMTAwMAUAAAAAAAAACAAAABQoSW52YWxpZCBJZGVudGlmaWVyKXyJWp7BZN4IpYHGYMJk3ggbQ0lRLjAuSVFfUkVUVVJOX0FTU0VUUy4yMDAwBQAAAAAAAAAIAAAAFChJbnZhbGlkIElkZW50aWZpZXIpfIlansFk3ggKV8ZgwmTeCCVDSVEuSVExNDAyODMuSVFfRUJJVERBX0NBUEVYX0lOVC4xMDAwAQAAAPsjAgACAAAACDYuNDYwNDA1AQgAAAAFAAAAATEBAAAACy0xOTA4ODYyODEwAwAAAAMxNjACAAAABDQxOTEEAAAAATAHAAAACDIvNS8yMDI2CAAAAAoxMi8zMS8yMDI1CQAAAAEwfIlansFk3ggoHgm3wWTeCCdDSVEuSVE0MTE5NTAuSVFfVE9UQUxfREVCVF9DQVBJVEFMLjEwMDABAAAA</t>
  </si>
  <si>
    <t>LkkGAAIAAAAHMjkuMjQzOQEIAAAABQAAAAExAQAAAAstMTk2MDQxNTY0OAMAAAADMTYwAgAAAAQ0MTg2BAAAAAEwBwAAAAgyLzUvMjAyNggAAAAKMTIvMzEvMjAyNAkAAAABMKFfWp7BZN4ImO0It8Fk3ggfQ0lRLjAuSVFfVE9UQUxfREVCVF9FQklUREEuMTAwMAUAAAAAAAAACAAAABQoSW52YWxpZCBJZGVudGlmaWVyKXyJWp7BZN4IClfGYMJk3ggmQ0lRLklRMTQwMjgzLklRX1RPVEFMX0RFQlRfRVFVSVRZLjEwMDABAAAA+yMCAAIAAAAGODYuMzI3AQgAAAAFAAAAATEBAAAACy0xOTA4ODYyODEwAwAAAAMxNjACAAAABDQwMzQEAAAAATAHAAAACDIvNS8yMDI2CAAAAAoxMi8zMS8yMDI1CQAAAAEwfIlansFk3giY7Qi3wWTeCB1DSVEuMC5JUV9FRkZFQ1RfVEFYX1JBVEUuMTAwMAUAAAAAAAAACAAAABQoSW52YWxpZCBJZGVudGlmaWVyKXyJWp7BZN4IClfGYMJk3ggWQ0lRLjAuSVFfRUJJVF9JTlQuMTAwMAUAAAAAAAAACAAAABQoSW52YWxpZCBJZGVudGlmaWVyKXyJWp7BZN4I8ajGYMJk3ggZQ0lRLjAuSVFfUVVJQ0tfUkFUSU8uMTAwMAUAAAAAAAAACAAAABQoSW52YWxpZCBJZGVudGlmaWVyKXyJWp7BZN4IpYHGYMJk3ggfQ0lRLklRMTQwMjgzLklRX0VCSVREQV9JTlQuMTAwMAEAAAD7IwIAAgAAAAkxNC44Mzk3NzkBCAAAAAUAAAABMQEAAAALLTE5MDg4NjI4MTADAAAAAzE2MAIAAAAENDE5MAQA</t>
  </si>
  <si>
    <t>AAABMAcAAAAIMi81LzIwMjYIAAAACjEyLzMxLzIwMjUJAAAAATB8iVqewWTeCIrGCLfBZN4IG0NJUS4wLklRX0VCSVREQV9NQVJHSU4uMjAwMAUAAAAAAAAACAAAABQoSW52YWxpZCBJZGVudGlmaWVyKXyJWp7BZN4IXAzKYMJk3gglQ0lRLklRMzE1MDAuSVFfVE9UQUxfREVCVF9FUVVJVFkuMTAwMAEAAAAMewAAAgAAAAc4MS42NzQ5AQgAAAAFAAAAATEBAAAACy0xOTQxNDc5ODM5AwAAAAMxNjACAAAABDQwMzQEAAAAATAHAAAACDIvNS8yMDI2CAAAAAkzLzMxLzIwMjUJAAAAATChX1qewWTeCDefCLfBZN4IJENJUS5JUTQxMTk1MC5JUV9FRkZFQ1RfVEFYX1JBVEUuMTAwMAEAAAAuSQYAAgAAAAcxNC4zMDI4AQgAAAAFAAAAATEBAAAACy0xOTYwNDE1NjQ4AwAAAAMxNjACAAAABDQzNzYEAAAAATAHAAAACDIvNS8yMDI2CAAAAAoxMi8zMS8yMDI0CQAAAAEwoV9ansFk3gjTagi3wWTeCCBDSVEuSVExNDAyODMuSVFfUVVJQ0tfUkFUSU8uMTAwMAEAAAD7IwIAAgAAAAgyLjE2NjUwOAEIAAAABQAAAAExAQAAAAstMTkwODg2MjgxMAMAAAADMTYwAgAAAAQ0MTIxBAAAAAEwBwAAAAgyLzUvMjAyNggAAAAKMTIvMzEvMjAyNQkAAAABMHyJWp7BZN4I02oIt8Fk3gggQ0lRLklROTM0NDY3LklRX1FVSUNLX1JBVElPLjEwMDABAAAAQ0IOAAIAAAAHMS4xMTM2MwEIAAAABQAAAAExAQAAAAstMTkwODE3MTY0NAMA</t>
  </si>
  <si>
    <t>AAADMTYwAgAAAAQ0MTIxBAAAAAEwBwAAAAgyLzUvMjAyNggAAAAKMTIvMzEvMjAyNQkAAAABMHyJWp7BZN4I02oIt8Fk3ggfQ0lRLklRMTA1NDQ4LklRX0VCSVREQV9JTlQuMTAwMAEAAADomwEAAgAAAAkxOC41MTU4MzcBCAAAAAUAAAABMQEAAAALLTE5MTMwNjQyODADAAAAAjUwAgAAAAQ0MTkwBAAAAAEwBwAAAAgyLzUvMjAyNggAAAAJOS8zMC8yMDI1CQAAAAEwfIlansFk3giRQQi3wWTeCC9DSVEuMC5JUV9UT1RBTF9SRVZfMVlSX0FOTl9HUk9XVEguMjAwMC4yLzYvMjAyNgUAAAAAAAAACAAAABQoSW52YWxpZCBJZGVudGlmaWVyKXyJWp7BZN4Iz+DJYMJk3ggbQ0lRLjAuSVFfUkVUVVJOX0VRVUlUWS4yMDAwBQAAAAAAAAAIAAAAFChJbnZhbGlkIElkZW50aWZpZXIpfIlansFk3ggKV8ZgwmTeCCRDSVEuSVEzMTUwMC5JUV9FQklUREFfQ0FQRVhfSU5ULjEwMDABAAAADHsAAAIAAAAINC4wOTQ5MDcBCAAAAAUAAAABMQEAAAALLTE5NDE0Nzk4MzkDAAAAAzE2MAIAAAAENDE5MQQAAAABMAcAAAAIMi81LzIwMjYIAAAACTMvMzEvMjAyNQkAAAABMHyJWp7BZN4IoRgIt8Fk3ggiQ0lRLklRNDExOTUwLklRX1JFVFVSTl9BU1NFVFMuMjAwMAEAAAAuSQYAAgAAAAY1LjY5MzUBCAAAAAUAAAABMQEAAAALLTE5MTg2NzkwODcDAAAAAzE2MAIAAAAENDE3OAQAAAABMAcAAAAIMi81LzIwMjYIAAAACTEwLzMv</t>
  </si>
  <si>
    <t>MjAyNQkAAAABMHyJWp7BZN4IoRgIt8Fk3ggiQ0lRLklROTM0NDY3LklRX0NVUlJFTlRfUkFUSU8uMTAwMAEAAABDQg4AAgAAAAgyLjA0NTg2NAEIAAAABQAAAAExAQAAAAstMTkwODE3MTY0NAMAAAADMTYwAgAAAAQ0MDMwBAAAAAEwBwAAAAgyLzUvMjAyNggAAAAKMTIvMzEvMjAyNQkAAAABMHyJWp7BZN4IoRgIt8Fk3ggXQ0lRLjAuSVFfTklfTUFSR0lOLjIwMDAFAAAAAAAAAAgAAAAUKEludmFsaWQgSWRlbnRpZmllcil8iVqewWTeCM/gyWDCZN4IHUNJUS5JUTEwNTQ0OC5JUV9FQklUX0lOVC4xMDAwAQAAAOibAQACAAAACTEwLjUyNDg4NgEIAAAABQAAAAExAQAAAAstMTkxMzA2NDI4MAMAAAACNTACAAAABDQxODkEAAAAATAHAAAACDIvNS8yMDI2CAAAAAk5LzMwLzIwMjUJAAAAATB8iVqewWTeCKftB7fBZN4IF0NJUS4wLklRX1RPVEFMX1JFVi4xMDAwBQAAAAAAAAAIAAAAFChJbnZhbGlkIElkZW50aWZpZXIpurBansFk3gjP4MlgwmTeCB1DSVEuSVEyNTE0MTEuSVFfRUJJVF9JTlQuMTAwMAEAAAAT1gMAAgAAAAg5LjQyODMxMwEIAAAABQAAAAExAQAAAAstMTkxNDIyNzUxNwMAAAADMTYwAgAAAAQ0MTg5BAAAAAEwBwAAAAgyLzUvMjAyNggAAAAJMTEvMS8yMDI1CQAAAAEwfIlansFk3gh9wge3wWTeCCdDSVEuSVE5MzQ0NjcuSVFfVE9UQUxfREVCVF9DQVBJVEFMLjEwMDABAAAAQ0IOAAIAAAAH</t>
  </si>
  <si>
    <t>NTMuOTA1NQEIAAAABQAAAAExAQAAAAstMTkwODE3MTY0NAMAAAADMTYwAgAAAAQ0MTg2BAAAAAEwBwAAAAgyLzUvMjAyNggAAAAKMTIvMzEvMjAyNQkAAAABMHyJWp7BZN4IPpIHt8Fk3gglQ0lRLklRMzE1MDAuSVFfVE9UQUxfREVCVF9FQklUREEuMTAwMAEAAAAMewAAAgAAAAg0Ljg2ODc4OAEIAAAABQAAAAExAQAAAAstMTk0MTQ3OTgzOQMAAAADMTYwAgAAAAQ0MTkyBAAAAAEwBwAAAAgyLzUvMjAyNggAAAAJMy8zMS8yMDI1CQAAAAEwfIlansFk3gg+kge3wWTeCCJDSVEuSVExMDU0NDguSVFfQ1VSUkVOVF9SQVRJTy4xMDAwAQAAAOibAQACAAAACDEuNjk4MzA1AQgAAAAFAAAAATEBAAAACy0xOTEzMDY0MjgwAwAAAAI1MAIAAAAENDAzMAQAAAABMAcAAAAIMi81LzIwMjYIAAAACTkvMzAvMjAyNQkAAAABMHyJWp7BZN4IF3sHt8Fk3ggkQ0lRLklRMTA1NDQ4LklRX0VGRkVDVF9UQVhfUkFURS4xMDAwAQAAAOibAQACAAAABjI2LjkwOQEIAAAABQAAAAExAQAAAAstMTkxMzA2NDI4MAMAAAACNTACAAAABDQzNzYEAAAAATAHAAAACDIvNS8yMDI2CAAAAAk5LzMwLzIwMjUJAAAAATB8iVqewWTeCBZQB7fBZN4IIENJUS5JUTI1MTQxMS5JUV9RVUlDS19SQVRJTy4xMDAwAQAAABPWAwACAAAACDEuNTY3Njg1AQgAAAAFAAAAATEBAAAACy0xOTE0MjI3NTE3AwAAAAMxNjACAAAABDQxMjEEAAAAATAHAAAA</t>
  </si>
  <si>
    <t>CDIvNS8yMDI2CAAAAAkxMS8xLzIwMjUJAAAAATB8iVqewWTeCBd7B7fBZN4IIkNJUS5JUTE0MDI4My5JUV9SRVRVUk5fQVNTRVRTLjIwMDABAAAA+yMCAAIAAAAHMTAuOTQ5NQEIAAAABQAAAAExAQAAAAstMTkwODg2MjY0NAMAAAADMTYwAgAAAAQ0MTc4BAAAAAEwBwAAAAgyLzUvMjAyNggAAAAKMTIvMzEvMjAyNQkAAAABMHyJWp7BZN4IFlAHt8Fk3gglQ0lRLklRMjUxNDExLklRX0VCSVREQV9DQVBFWF9JTlQuMTAwMAEAAAAT1gMAAgAAAAgxNC4yMDUwMQEIAAAABQAAAAExAQAAAAstMTkxNDIyNzUxNwMAAAADMTYwAgAAAAQ0MTkxBAAAAAEwBwAAAAgyLzUvMjAyNggAAAAJMTEvMS8yMDI1CQAAAAEwfIlansFk3ggWUAe3wWTeCCJDSVEuSVExMDU0NDguSVFfUkVUVVJOX0FTU0VUUy4yMDAwAQAAAOibAQACAAAABTQuOTUzAQgAAAAFAAAAATEBAAAACy0xOTA4MDI1MDI0AwAAAAI1MAIAAAAENDE3OAQAAAABMAcAAAAIMi81LzIwMjYIAAAACjEyLzMxLzIwMjUJAAAAATB8iVqewWTeCDkoB7fBZN4IJkNJUS5JUTkzNDQ2Ny5JUV9UT1RBTF9ERUJUX0VRVUlUWS4xMDAwAQAAAENCDgACAAAACDExNi45NDU3AQgAAAAFAAAAATEBAAAACy0xOTA4MTcxNjQ0AwAAAAMxNjACAAAABDQwMzQEAAAAATAHAAAACDIvNS8yMDI2CAAAAAoxMi8zMS8yMDI1CQAAAAEwfIlansFk3gid7ga3wWTeCCZDSVEuSVExNDAy</t>
  </si>
  <si>
    <t>ODMuSVFfVE9UQUxfREVCVF9FQklUREEuMTAwMAEAAAD7IwIAAgAAAAcxLjc0MzM2AQgAAAAFAAAAATEBAAAACy0xOTA4ODYyODEwAwAAAAMxNjACAAAABDQxOTIEAAAAATAHAAAACDIvNS8yMDI2CAAAAAoxMi8zMS8yMDI1CQAAAAEwfIlansFk3gid7ga3wWTeCCJDSVEuSVExMDU0NDguSVFfUkVUVVJOX0VRVUlUWS4yMDAwAQAAAOibAQACAAAABjUuNzA2NQEIAAAABQAAAAExAQAAAAstMTkwODAyNTAyNAMAAAACNTACAAAABDQxMjgEAAAAATAHAAAACDIvNS8yMDI2CAAAAAoxMi8zMS8yMDI1CQAAAAEwfIlansFk3gid7ga3wWTeCCJDSVEuSVEyNTE0MTEuSVFfUkVUVVJOX0FTU0VUUy4yMDAwAQAAABPWAwACAAAABjMuODkxNAEIAAAABQAAAAExAQAAAAstMTkxNDIyNjM2MgMAAAADMTYwAgAAAAQ0MTc4BAAAAAEwBwAAAAgyLzUvMjAyNggAAAAJMTEvMS8yMDI1CQAAAAEwfIlansFk3gid7ga3wWTeCB1DSVEuSVExNDAyODMuSVFfRUJJVF9JTlQuMTAwMAEAAAD7IwIAAgAAAAgxMS4zMDc1NQEIAAAABQAAAAExAQAAAAstMTkwODg2MjgxMAMAAAADMTYwAgAAAAQ0MTg5BAAAAAEwBwAAAAgyLzUvMjAyNggAAAAKMTIvMzEvMjAyNQkAAAABMHyJWp7BZN4Imb0Gt8Fk3ggiQ0lRLklRMTQwMjgzLklRX0NVUlJFTlRfUkFUSU8uMTAwMAEAAAD7IwIAAgAAAAg0LjM1MjY0MwEIAAAABQAAAAExAQAAAAstMTkw</t>
  </si>
  <si>
    <t>ODg2MjgxMAMAAAADMTYwAgAAAAQ0MDMwBAAAAAEwBwAAAAgyLzUvMjAyNggAAAAKMTIvMzEvMjAyNQkAAAABMHyJWp7BZN4IipYGt8Fk3ggmQ0lRLklRNDExOTUwLklRX1RPVEFMX0RFQlRfRVFVSVRZLjEwMDABAAAALkkGAAIAAAAHNDEuMzMwNwEIAAAABQAAAAExAQAAAAstMTk2MDQxNTY0OAMAAAADMTYwAgAAAAQ0MDM0BAAAAAEwBwAAAAgyLzUvMjAyNggAAAAKMTIvMzEvMjAyNAkAAAABMHyJWp7BZN4Iem8Gt8Fk3ggiQ0lRLklRMjUxNDExLklRX1JFVFVSTl9FUVVJVFkuMjAwMAEAAAAT1gMAAgAAAAY2LjU3MjcBCAAAAAUAAAABMQEAAAALLTE5MTQyMjYzNjIDAAAAAzE2MAIAAAAENDEyOAQAAAABMAcAAAAIMi81LzIwMjYIAAAACTExLzEvMjAyNQkAAAABMHyJWp7BZN4Iem8Gt8Fk3ggkQ0lRLklROTM0NDY3LklRX0VGRkVDVF9UQVhfUkFURS4xMDAwAQAAAENCDgACAAAABzIwLjI0NjgBCAAAAAUAAAABMQEAAAALLTE5MDgxNzE2NDQDAAAAAzE2MAIAAAAENDM3NgQAAAABMAcAAAAIMi81LzIwMjYIAAAACjEyLzMxLzIwMjUJAAAAATB8iVqewWTeCG5IBrfBZN4IIENJUS5JUTQxMTk1MC5JUV9RVUlDS19SQVRJTy4xMDAwAQAAAC5JBgACAAAACDMuMjA0Njc0AQgAAAAFAAAAATEBAAAACy0xOTYwNDE1NjQ4AwAAAAMxNjACAAAABDQxMjEEAAAAATAHAAAACDIvNS8yMDI2CAAAAAoxMi8zMS8yMDI0</t>
  </si>
  <si>
    <t>CQAAAAEwfIlansFk3ghbIQa3wWTeCCZDSVEuSVEyNTE0MTEuSVFfVE9UQUxfREVCVF9FUVVJVFkuMTAwMAEAAAAT1gMAAgAAAAcyNi40OTk2AQgAAAAFAAAAATEBAAAACy0xOTE0MjI3NTE3AwAAAAMxNjACAAAABDQwMzQEAAAAATAHAAAACDIvNS8yMDI2CAAAAAkxMS8xLzIwMjUJAAAAATB8iVqewWTeCFshBrfBZN4IHkNJUS5JUTMxNTAwLklRX0VCSVREQV9JTlQuMTAwMAEAAAAMewAAAgAAAAg0LjU4MTAxOAEIAAAABQAAAAExAQAAAAstMTk0MTQ3OTgzOQMAAAADMTYwAgAAAAQ0MTkwBAAAAAEwBwAAAAgyLzUvMjAyNggAAAAJMy8zMS8yMDI1CQAAAAEwfIlansFk3ghB0wW3wWTeCCFDSVEuSVEzMTUwMC5JUV9DVVJSRU5UX1JBVElPLjEwMDABAAAADHsAAAIAAAAIMi41ODk2NDUBCAAAAAUAAAABMQEAAAALLTE5NDE0Nzk4MzkDAAAAAzE2MAIAAAAENDAzMAQAAAABMAcAAAAIMi81LzIwMjYIAAAACTMvMzEvMjAyNQkAAAABMHyJWp7BZN4IQdMFt8Fk3gghQ0lRLklRMzE1MDAuSVFfUkVUVVJOX0FTU0VUUy4yMDAwAQAAAAx7AAACAAAABjAuNjQ0NgEIAAAABQAAAAExAQAAAAstMTkxODE2OTMxOAMAAAADMTYwAgAAAAQ0MTc4BAAAAAEwBwAAAAgyLzUvMjAyNggAAAAJOS8zMC8yMDI1CQAAAAEwfIlansFk3ggchQW3wWTeCCZDSVEuSVE5MzQ0NjcuSVFfVE9UQUxfREVCVF9FQklUREEuMTAwMAEAAABD</t>
  </si>
  <si>
    <t>Qg4AAgAAAAgyLjk1MjE3MwEIAAAABQAAAAExAQAAAAstMTkwODE3MTY0NAMAAAADMTYwAgAAAAQ0MTkyBAAAAAEwBwAAAAgyLzUvMjAyNggAAAAKMTIvMzEvMjAyNQkAAAABMHyJWp7BZN4ILKwFt8Fk3ggfQ0lRLklRMzE1MDAuSVFfUVVJQ0tfUkFUSU8uMTAwMAEAAAAMewAAAgAAAAgxLjI2NTE3MQEIAAAABQAAAAExAQAAAAstMTk0MTQ3OTgzOQMAAAADMTYwAgAAAAQ0MTIxBAAAAAEwBwAAAAgyLzUvMjAyNggAAAAJMy8zMS8yMDI1CQAAAAEwfIlansFk3ggchQW3wWTeCCJDSVEuSVExNDAyODMuSVFfUkVUVVJOX0VRVUlUWS4yMDAwAQAAAPsjAgACAAAABzMwLjE0ODIBCAAAAAUAAAABMQEAAAALLTE5MDg4NjI2NDQDAAAAAzE2MAIAAAAENDEyOAQAAAABMAcAAAAIMi81LzIwMjYIAAAACjEyLzMxLzIwMjUJAAAAATB8iVqewWTeCByFBbfBZN4IJENJUS5JUTE0MDI4My5JUV9FRkZFQ1RfVEFYX1JBVEUuMTAwMAEAAAD7IwIAAgAAAAcxMi40MTY4AQgAAAAFAAAAATEBAAAACy0xOTA4ODYyODEwAwAAAAMxNjACAAAABDQzNzYEAAAAATAHAAAACDIvNS8yMDI2CAAAAAoxMi8zMS8yMDI1CQAAAAEwfIlansFk3ggOXgW3wWTeCCFDSVEuSVEzMTUwMC5JUV9SRVRVUk5fRVFVSVRZLjIwMDABAAAADHsAAAIAAAAHLTIuODUzOQEIAAAABQAAAAExAQAAAAstMTkxODE2OTMxOAMAAAADMTYwAgAAAAQ0MTI4BAAA</t>
  </si>
  <si>
    <t>AAEwBwAAAAgyLzUvMjAyNggAAAAJOS8zMC8yMDI1CQAAAAEwfIlansFk3gjqNgW3wWTeCClDSVEuMC5JUV9FUFNfMVlSX0FOTl9HUk9XVEguMjAwMC4yLzYvMjAyNgUAAAAAAAAACAAAABQoSW52YWxpZCBJZGVudGlmaWVyKXyJWp7BZN4IXAzKYMJk3ggdQ0lRLklROTM0NDY3LklRX0VCSVRfSU5ULjEwMDABAAAAQ0IOAAIAAAAIOS4zMTgzMDkBCAAAAAUAAAABMQEAAAALLTE5MDgxNzE2NDQDAAAAAzE2MAIAAAAENDE4OQQAAAABMAcAAAAIMi81LzIwMjYIAAAACjEyLzMxLzIwMjUJAAAAATB8iVqewWTeCKgPBbfBZN4IJkNJUS5JUTMxNTAwLklRX1RPVEFMX0RFQlRfQ0FQSVRBTC4xMDAwAQAAAAx7AAACAAAABzQ0Ljk1NjYBCAAAAAUAAAABMQEAAAALLTE5NDE0Nzk4MzkDAAAAAzE2MAIAAAAENDE4NgQAAAABMAcAAAAIMi81LzIwMjYIAAAACTMvMzEvMjAyNQkAAAABMHyJWp7BZN4IqA8Ft8Fk3ggmQ0lRLklRNDExOTUwLklRX1RPVEFMX0RFQlRfRUJJVERBLjEwMDABAAAALkkGAAIAAAAIMS4zOTM5MDEBCAAAAAUAAAABMQEAAAALLTE5NjA0MTU2NDgDAAAAAzE2MAIAAAAENDE5MgQAAAABMAcAAAAIMi81LzIwMjYIAAAACjEyLzMxLzIwMjQJAAAAATB8iVqewWTeCKgPBbfBZN4IH0NJUS5JUTkzNDQ2Ny5JUV9FQklUREFfSU5ULjEwMDABAAAAQ0IOAAIAAAAJMTEuNjYxOTcxAQgAAAAFAAAAATEBAAAA</t>
  </si>
  <si>
    <t>Cy0xOTA4MTcxNjQ0AwAAAAMxNjACAAAABDQxOTAEAAAAATAHAAAACDIvNS8yMDI2CAAAAAoxMi8zMS8yMDI1CQAAAAEwfIlansFk3gg/qAS3wWTeCCVDSVEuSVE0MTE5NTAuSVFfRUJJVERBX0NBUEVYX0lOVC4xMDAwAQAAAC5JBgACAAAACTMwLjgxMjE5OQEIAAAABQAAAAExAQAAAAstMTk2MDQxNTY0OAMAAAADMTYwAgAAAAQ0MTkxBAAAAAEwBwAAAAgyLzUvMjAyNggAAAAKMTIvMzEvMjAyNAkAAAABMHyJWp7BZN4IMYEEt8Fk3ggnQ0lRLklRMjUxNDExLklRX1RPVEFMX0RFQlRfQ0FQSVRBTC4xMDAwAQAAABPWAwACAAAABzIwLjk0ODQBCAAAAAUAAAABMQEAAAALLTE5MTQyMjc1MTcDAAAAAzE2MAIAAAAENDE4NgQAAAABMAcAAAAIMi81LzIwMjYIAAAACTExLzEvMjAyNQkAAAABMHyJWp7BZN4IMYEEt8Fk3ggnQ0lRLklRMTQwMjgzLklRX1RPVEFMX0RFQlRfQ0FQSVRBTC4xMDAwAQAAAPsjAgACAAAABzQ2LjMzMDkBCAAAAAUAAAABMQEAAAALLTE5MDg4NjI4MTADAAAAAzE2MAIAAAAENDE4NgQAAAABMAcAAAAIMi81LzIwMjYIAAAACjEyLzMxLzIwMjUJAAAAATB8iVqewWTeCOdTBLfBZN4IH0NJUS5JUTQxMTk1MC5JUV9FQklUREFfSU5ULjEwMDABAAAALkkGAAIAAAAJNDEuOTUxODQ1AQgAAAAFAAAAATEBAAAACy0xOTYwNDE1NjQ4AwAAAAMxNjACAAAABDQxOTAEAAAAATAHAAAACDIvNS8yMDI2</t>
  </si>
  <si>
    <t>CAAAAAoxMi8zMS8yMDI0CQAAAAEwfIlansFk3gjnUwS3wWTeCCJDSVEuSVE0MTE5NTAuSVFfUkVUVVJOX0VRVUlUWS4yMDAwAQAAAC5JBgACAAAABTMuODkxAQgAAAAFAAAAATEBAAAACy0xOTE4Njc5MDg3AwAAAAMxNjACAAAABDQxMjgEAAAAATAHAAAACDIvNS8yMDI2CAAAAAkxMC8zLzIwMjUJAAAAATB8iVqewWTeCOdTBLfBZN4IIkNJUS5JUTQxMTk1MC5JUV9DVVJSRU5UX1JBVElPLjEwMDABAAAALkkGAAIAAAAINS4wNTg0MzUBCAAAAAUAAAABMQEAAAALLTE5NjA0MTU2NDgDAAAAAzE2MAIAAAAENDAzMAQAAAABMAcAAAAIMi81LzIwMjYIAAAACjEyLzMxLzIwMjQJAAAAATB8iVqewWTeCHQoBLfBZN4IHENJUS5JUTMxNTAwLklRX0VCSVRfSU5ULjEwMDABAAAADHsAAAIAAAAIMS40NDg2ODgBCAAAAAUAAAABMQEAAAALLTE5NDE0Nzk4MzkDAAAAAzE2MAIAAAAENDE4OQQAAAABMAcAAAAIMi81LzIwMjYIAAAACTMvMzEvMjAyNQkAAAABMHyJWp7BZN4IdCgEt8Fk3gglQ0lRLklRMTA1NDQ4LklRX0VCSVREQV9DQVBFWF9JTlQuMTAwMAEAAADomwEAAgAAAAgxMC4zNzEwNAEIAAAABQAAAAExAQAAAAstMTkxMzA2NDI4MAMAAAACNTACAAAABDQxOTEEAAAAATAHAAAACDIvNS8yMDI2CAAAAAk5LzMwLzIwMjUJAAAAATB8iVqewWTeCNrZA7fBZN4IIkNJUS5JUTkzNDQ2Ny5JUV9SRVRVUk5fRVFVSVRZ</t>
  </si>
  <si>
    <t>LjIwMDABAAAAQ0IOAAIAAAAHMjAuNjk4NgEIAAAABQAAAAExAQAAAAstMTkwODE3MTU5NwMAAAADMTYwAgAAAAQ0MTI4BAAAAAEwBwAAAAgyLzUvMjAyNggAAAAKMTIvMzEvMjAyNQkAAAABMHyJWp7BZN4I2tkDt8Fk3ggmQ0lRLklRMTA1NDQ4LklRX1RPVEFMX0RFQlRfRUJJVERBLjEwMDABAAAA6JsBAAIAAAAHMS43NjM0NAEIAAAABQAAAAExAQAAAAstMTkxMzA2NDI4MAMAAAACNTACAAAABDQxOTIEAAAAATAHAAAACDIvNS8yMDI2CAAAAAk5LzMwLzIwMjUJAAAAATB8iVqewWTeCMyyA7fBZN4IJENJUS5JUTI1MTQxMS5JUV9FRkZFQ1RfVEFYX1JBVEUuMTAwMAEAAAAT1gMAAgAAAAcxNi4zOTkzAQgAAAAFAAAAATEBAAAACy0xOTE0MjI3NTE3AwAAAAMxNjACAAAABDQzNzYEAAAAATAHAAAACDIvNS8yMDI2CAAAAAkxMS8xLzIwMjUJAAAAATB8iVqewWTeCJ6DA7fBZN4IJkNJUS5JUTEwNTQ0OC5JUV9UT1RBTF9ERUJUX0VRVUlUWS4xMDAwAQAAAOibAQACAAAABTQyLjMyAQgAAAAFAAAAATEBAAAACy0xOTEzMDY0MjgwAwAAAAI1MAIAAAAENDAzNAQAAAABMAcAAAAIMi81LzIwMjYIAAAACTkvMzAvMjAyNQkAAAABMHyJWp7BZN4InoMDt8Fk3ggmQ0lRLklRMjUxNDExLklRX1RPVEFMX0RFQlRfRUJJVERBLjEwMDABAAAAE9YDAAIAAAAIMS43NzU2MjQBCAAAAAUAAAABMQEAAAALLTE5MTQyMjc1MTcD</t>
  </si>
  <si>
    <t>AAAAAzE2MAIAAAAENDE5MgQAAAABMAcAAAAIMi81LzIwMjYIAAAACTExLzEvMjAyNQkAAAABMHyJWp7BZN4InoMDt8Fk3gglQ0lRLklROTM0NDY3LklRX0VCSVREQV9DQVBFWF9JTlQuMTAwMAEAAABDQg4AAgAAAAkxMC41NDM2NjEBCAAAAAUAAAABMQEAAAALLTE5MDgxNzE2NDQDAAAAAzE2MAIAAAAENDE5MQQAAAABMAcAAAAIMi81LzIwMjYIAAAACjEyLzMxLzIwMjUJAAAAATB8iVqewWTeCJ6DA7fBZN4II0NJUS5JUTMxNTAwLklRX0VGRkVDVF9UQVhfUkFURS4xMDAwAQAAAAx7AAACAAAACDEwMS4yODUzAQgAAAAFAAAAATEBAAAACy0xOTQxNDc5ODM5AwAAAAMxNjACAAAABDQzNzYEAAAAATAHAAAACDIvNS8yMDI2CAAAAAkzLzMxLzIwMjUJAAAAATB8iVqewWTeCCFcA7fBZN4IIkNJUS5JUTkzNDQ2Ny5JUV9SRVRVUk5fQVNTRVRTLjIwMDABAAAAQ0IOAAIAAAAGOC4xMTY1AQgAAAAFAAAAATEBAAAACy0xOTA4MTcxNTk3AwAAAAMxNjACAAAABDQxNzgEAAAAATAHAAAACDIvNS8yMDI2CAAAAAoxMi8zMS8yMDI1CQAAAAEwfIlansFk3gghXAO3wWTeCCBDSVEuSVExMDU0NDguSVFfUVVJQ0tfUkFUSU8uMTAwMAEAAADomwEAAgAAAAgwLjg0MzAxNQEIAAAABQAAAAExAQAAAAstMTkxMzA2NDI4MAMAAAACNTACAAAABDQxMjEEAAAAATAHAAAACDIvNS8yMDI2CAAAAAk5LzMwLzIwMjUJAAAAATB8iVqe</t>
  </si>
  <si>
    <t>wWTeCOI0A7fBZN4IJ0NJUS5JUTEwNTQ0OC5JUV9UT1RBTF9ERUJUX0NBUElUQUwuMTAwMAEAAADomwEAAgAAAAcyOS43MzU4AQgAAAAFAAAAATEBAAAACy0xOTEzMDY0MjgwAwAAAAI1MAIAAAAENDE4NgQAAAABMAcAAAAIMi81LzIwMjYIAAAACTkvMzAvMjAyNQkAAAABMHyJWp7BZN4I4jQDt8Fk3ggdQ0lRLklRNDExOTUwLklRX0VCSVRfSU5ULjEwMDABAAAALkkGAAIAAAAJMzAuNjQzNjU5AQgAAAAFAAAAATEBAAAACy0xOTYwNDE1NjQ4AwAAAAMxNjACAAAABDQxODkEAAAAATAHAAAACDIvNS8yMDI2CAAAAAoxMi8zMS8yMDI0CQAAAAEwfIlansFk3gjiNAO3wWTeCCJDSVEuSVEyNTE0MTEuSVFfQ1VSUkVOVF9SQVRJTy4xMDAwAQAAABPWAwACAAAACDIuMTg5OTI1AQgAAAAFAAAAATEBAAAACy0xOTE0MjI3NTE3AwAAAAMxNjACAAAABDQwMzAEAAAAATAHAAAACDIvNS8yMDI2CAAAAAkxMS8xLzIwMjUJAAAAATB8iVqewWTeCOI0A7fBZN4IH0NJUS5JUTI1MTQxMS5JUV9FQklUREFfSU5ULjEwMDABAAAAE9YDAAIAAAAJMTUuODg0MzQ2AQgAAAAFAAAAATEBAAAACy0xOTE0MjI3NTE3AwAAAAMxNjACAAAABDQxOTAEAAAAATAHAAAACDIvNS8yMDI2CAAAAAkxMS8xLzIwMjUJAAAAATB8iVqewWTeCCwMA7fBZN4IFkNJUS4wLklRX09QRVJfSU5DLjIwMDAFAAAAAAAAAAgAAAAUKEludmFsaWQgSWRlbnRp</t>
  </si>
  <si>
    <t>Zmllcil8iVqewWTeCApXxmDCZN4IGENJUS4wLklRX1RPVEFMX0RFQlQuMjAwMAUAAAAAAAAACAAAABQoSW52YWxpZCBJZGVudGlmaWVyKXyJWp7BZN4IClfGYMJk3ggaQ0lRLjAuSVFfVE9UQUxfRVFVSVRZLjIwMDAFAAAAAAAAAAgAAAAUKEludmFsaWQgSWRlbnRpZmllcil8iVqewWTeCApXxmDCZN4IGENJUS4wLklRX0NBU0hfRVFVSVYuMjAwMAUAAAAAAAAACAAAABQoSW52YWxpZCBJZGVudGlmaWVyKXyJWp7BZN4IClfGYMJk3ggjQ0lRLklRMTQwMjgzLklRX0RJTFVUX0VQU19JTkNMLjEwMDABAAAA+yMCAAIAAAAINS40NDY4NzgBCAAAAAUAAAABMQEAAAALLTE5MDg4NjI4MTADAAAAAzE2MAIAAAABOAQAAAABMAcAAAAIMi81LzIwMjYIAAAACjEyLzMxLzIwMjUJAAAAATB8iVqewWTeCBvVArfBZN4IHkNJUS5JUTI1MTQxMS5JUV9UT1RBTF9SRVYuMTAwMAEAAAAT1gMAAgAAAAkxMTAxOS43MDcBCAAAAAUAAAABMQEAAAALLTE5MTQyMjc1MTcDAAAAAzE2MAIAAAACMjgEAAAAATAHAAAACDIvNS8yMDI2CAAAAAkxMS8xLzIwMjUJAAAAATB8iVqewWTeCBvVArfBZN4IIkNJUS5JUTMxNTAwLklRX0RJTFVUX0VQU19JTkNMLjEwMDABAAAADHsAAAIAAAAFLTAuMDEBCAAAAAUAAAABMQEAAAALLTE5NDE0Nzk4MzkDAAAAAzE2MAIAAAABOAQAAAABMAcAAAAIMi81LzIwMjYIAAAACTMvMzEvMjAyNQkAAAAB</t>
  </si>
  <si>
    <t>MHyJWp7BZN4IC6ECt8Fk3ggeQ0lRLklROTM0NDY3LklRX05JX01BUkdJTi4yMDAwAQAAAENCDgACAAAABzE2LjQ3MjQBCAAAAAUAAAABMQEAAAALLTE5MDgxNzE1OTcDAAAAAzE2MAIAAAAENDA5NAQAAAABMAcAAAAIMi81LzIwMjYIAAAACjEyLzMxLzIwMjUJAAAAATB8iVqewWTeCEZ4ArfBZN4INkNJUS5JUTE0MDI4My5JUV9UT1RBTF9SRVZfMVlSX0FOTl9HUk9XVEguMjAwMC4yLzYvMjAyNgEAAAD7IwIAAgAAAAYxMy4wNDkBCAAAAAUAAAABMQEAAAALLTE5MDg4NjI2NDQDAAAAAzE2MAIAAAAENDE5NAQAAAABMAcAAAAIMi82LzIwMjYIAAAACjEyLzMxLzIwMjUJAAAAATB8iVqewWTeCEZ4ArfBZN4IHUNJUS5JUTE0MDI4My5JUV9PUEVSX0lOQy4yMDAwAQAAAPsjAgACAAAABDYxNDABCAAAAAUAAAABMQEAAAALLTE5MDg4NjI2NDQDAAAAAzE2MAIAAAACMjEEAAAAATAHAAAACDIvNS8yMDI2CAAAAAoxMi8zMS8yMDI1CQAAAAEwfIlansFk3ggOXgW3wWTeCB9DSVEuSVExNDAyODMuSVFfVE9UQUxfREVCVC4yMDAwAQAAAPsjAgACAAAABTE0MDQ4AQgAAAAFAAAAATEBAAAACy0xOTA4ODYyNjQ0AwAAAAMxNjACAAAABDQxNzMEAAAAATAHAAAACDIvNS8yMDI2CAAAAAoxMi8zMS8yMDI1CQAAAAEwfIlansFk3ggOXgW3wWTeCCFDSVEuSVExNDAyODMuSVFfVE9UQUxfRVFVSVRZLjIwMDABAAAA+yMCAAIA</t>
  </si>
  <si>
    <t>AAAFMTYyNzMBCAAAAAUAAAABMQEAAAALLTE5MDg4NjI2NDQDAAAAAzE2MAIAAAAEMTI3NQQAAAABMAcAAAAIMi81LzIwMjYIAAAACjEyLzMxLzIwMjUJAAAAATB8iVqewWTeCA5eBbfBZN4IH0NJUS5JUTE0MDI4My5JUV9DQVNIX0VRVUlWLjIwMDABAAAA+yMCAAIAAAAEMzIyNQEIAAAABQAAAAExAQAAAAstMTkwODg2MjY0NAMAAAADMTYwAgAAAAQxMDk2BAAAAAEwBwAAAAgyLzUvMjAyNggAAAAKMTIvMzEvMjAyNQkAAAABMHyJWp7BZN4IHIUFt8Fk3ggdQ0lRLklRMzE1MDAuSVFfTklfTUFSR0lOLjIwMDABAAAADHsAAAIAAAAHLTQuMzk0MQEIAAAABQAAAAExAQAAAAstMTkxODE2OTMxOAMAAAADMTYwAgAAAAQ0MDk0BAAAAAEwBwAAAAgyLzUvMjAyNggAAAAJOS8zMC8yMDI1CQAAAAEwfIlansFk3ghaSAK3wWTeCCNDSVEuSVE0MTE5NTAuSVFfRElMVVRfRVBTX0lOQ0wuMTAwMAEAAAAuSQYAAgAAAAQzLjYzAQgAAAAFAAAAATEBAAAACy0xOTYwNDE1NjQ4AwAAAAMxNjACAAAAATgEAAAAATAHAAAACDIvNS8yMDI2CAAAAAoxMi8zMS8yMDI0CQAAAAEwfIlansFk3ghpIQK3wWTeCDBDSVEuSVExNDAyODMuSVFfRVBTXzFZUl9BTk5fR1JPV1RILjIwMDAuMi82LzIwMjYBAAAA+yMCAAIAAAAGNC43NDc2AQgAAAAFAAAAATEBAAAACy0xOTA4ODYyNjQ0AwAAAAMxNjACAAAABDQyMDAEAAAAATAHAAAACDIv</t>
  </si>
  <si>
    <t>Ni8yMDI2CAAAAAoxMi8zMS8yMDI1CQAAAAEwurBansFk3ghaSAK3wWTeCB5DSVEuSVExNDAyODMuSVFfTklfTUFSR0lOLjIwMDABAAAA+yMCAAIAAAAHMjguMjgyOQEIAAAABQAAAAExAQAAAAstMTkwODg2MjY0NAMAAAADMTYwAgAAAAQ0MDk0BAAAAAEwBwAAAAgyLzUvMjAyNggAAAAKMTIvMzEvMjAyNQkAAAABMHyJWp7BZN4IaSECt8Fk3ggeQ0lRLklRNDExOTUwLklRX1RPVEFMX1JFVi4xMDAwAQAAAC5JBgACAAAABjcwODIuMwEIAAAABQAAAAExAQAAAAstMTk2MDQxNTY0OAMAAAADMTYwAgAAAAIyOAQAAAABMAcAAAAIMi81LzIwMjYIAAAACjEyLzMxLzIwMjQJAAAAATB8iVqewWTeCGkhArfBZN4IHkNJUS5JUTE0MDI4My5JUV9UT1RBTF9SRVYuMTAwMAEAAAD7IwIAAgAAAAUxNzY4MgEIAAAABQAAAAExAQAAAAstMTkwODg2MjgxMAMAAAADMTYwAgAAAAIyOAQAAAABMAcAAAAIMi81LzIwMjYIAAAACjEyLzMxLzIwMjUJAAAAATB8iVqewWTeCC7TAbfBZN4IHUNJUS5JUTkzNDQ2Ny5JUV9PUEVSX0lOQy4yMDAwAQAAAENCDgACAAAABDMzMDgBCAAAAAUAAAABMQEAAAALLTE5MDgxNzE1OTcDAAAAAzE2MAIAAAACMjEEAAAAATAHAAAACDIvNS8yMDI2CAAAAAoxMi8zMS8yMDI1CQAAAAEwfIlansFk3ghuSAa3wWTeCB9DSVEuSVE5MzQ0NjcuSVFfVE9UQUxfREVCVC4yMDAwAQAAAENCDgACAAAABTEy</t>
  </si>
  <si>
    <t>MjIyAQgAAAAFAAAAATEBAAAACy0xOTA4MTcxNTk3AwAAAAMxNjACAAAABDQxNzMEAAAAATAHAAAACDIvNS8yMDI2CAAAAAoxMi8zMS8yMDI1CQAAAAEwfIlansFk3gh6bwa3wWTeCCFDSVEuSVE5MzQ0NjcuSVFfVE9UQUxfRVFVSVRZLjIwMDABAAAAQ0IOAAIAAAAFMTA0NTEBCAAAAAUAAAABMQEAAAALLTE5MDgxNzE1OTcDAAAAAzE2MAIAAAAEMTI3NQQAAAABMAcAAAAIMi81LzIwMjYIAAAACjEyLzMxLzIwMjUJAAAAATB8iVqewWTeCHpvBrfBZN4IH0NJUS5JUTkzNDQ2Ny5JUV9DQVNIX0VRVUlWLjIwMDABAAAAQ0IOAAIAAAAEMzI2NwEIAAAABQAAAAExAQAAAAstMTkwODE3MTU5NwMAAAADMTYwAgAAAAQxMDk2BAAAAAEwBwAAAAgyLzUvMjAyNggAAAAKMTIvMzEvMjAyNQkAAAABMHyJWp7BZN4Iem8Gt8Fk3ggvQ0lRLklRMzE1MDAuSVFfRVBTXzFZUl9BTk5fR1JPV1RILjIwMDAuMi82LzIwMjYBAAAADHsAAAMAAAACTk0BCAAAAAUAAAABMQEAAAALLTE5MTgxNjkzMTgDAAAAAzE2MAIAAAAENDIwMAQAAAABMAcAAAAIMi82LzIwMjYIAAAACTkvMzAvMjAyNQkAAAABMHyJWp7BZN4IkqsBt8Fk3ggdQ0lRLklRMzE1MDAuSVFfVE9UQUxfUkVWLjEwMDABAAAADHsAAAIAAAAGNDQwMS42AQgAAAAFAAAAATEBAAAACy0xOTQxNDc5ODM5AwAAAAMxNjACAAAAAjI4BAAAAAEwBwAAAAgyLzUvMjAyNggAAAAJ</t>
  </si>
  <si>
    <t>My8zMS8yMDI1CQAAAAEwfIlansFk3gjcfQG3wWTeCDBDSVEuSVE5MzQ0NjcuSVFfRVBTXzFZUl9BTk5fR1JPV1RILjIwMDAuMi82LzIwMjYBAAAAQ0IOAAIAAAAHLTE4LjI5NAEIAAAABQAAAAExAQAAAAstMTkwODE3MTU5NwMAAAADMTYwAgAAAAQ0MjAwBAAAAAEwBwAAAAgyLzYvMjAyNggAAAAKMTIvMzEvMjAyNQkAAAABMHyJWp7BZN4IaiEBt8Fk3ggeQ0lRLklROTM0NDY3LklRX1RPVEFMX1JFVi4xMDAwAQAAAENCDgACAAAABTEyMjY5AQgAAAAFAAAAATEBAAAACy0xOTA4MTcxNjQ0AwAAAAMxNjACAAAAAjI4BAAAAAEwBwAAAAgyLzUvMjAyNggAAAAKMTIvMzEvMjAyNQkAAAABMHyJWp7BZN4IaiEBt8Fk3gg2Q0lRLklRNDExOTUwLklRX1RPVEFMX1JFVl8xWVJfQU5OX0dST1dUSC4yMDAwLjIvNi8yMDI2AQAAAC5JBgACAAAACC0xNi4xMzA3AQgAAAAFAAAAATEBAAAACy0xOTE4Njc5MDg3AwAAAAMxNjACAAAABDQxOTQEAAAAATAHAAAACDIvNi8yMDI2CAAAAAkxMC8zLzIwMjUJAAAAATB8iVqewWTeCProALfBZN4IIkNJUS5JUTEwNTQ0OC5JUV9FQklUREFfTUFSR0lOLjIwMDABAAAA6JsBAAIAAAAHMjcuMjg4NQEIAAAABQAAAAExAQAAAAstMTkwODAyNTAyNAMAAAACNTACAAAABDQwNDcEAAAAATAHAAAACDIvNS8yMDI2CAAAAAoxMi8zMS8yMDI1CQAAAAEwfIlansFk3gjEwQC3wWTeCB1DSVEu</t>
  </si>
  <si>
    <t>SVExMDU0NDguSVFfT1BFUl9JTkMuMjAwMAEAAADomwEAAgAAAAQyMzk2AQgAAAAFAAAAATEBAAAACy0xOTA4MDI1MDI0AwAAAAI1MAIAAAACMjEEAAAAATAHAAAACDIvNS8yMDI2CAAAAAoxMi8zMS8yMDI1CQAAAAEwfIlansFk3ggWUAe3wWTeCB9DSVEuSVExMDU0NDguSVFfVE9UQUxfREVCVC4yMDAwAQAAAOibAQACAAAABDcyNjkBCAAAAAUAAAABMQEAAAALLTE5MDgwMjUwMjQDAAAAAjUwAgAAAAQ0MTczBAAAAAEwBwAAAAgyLzUvMjAyNggAAAAKMTIvMzEvMjAyNQkAAAABMHyJWp7BZN4IFlAHt8Fk3gghQ0lRLklRMTA1NDQ4LklRX1RPVEFMX0VRVUlUWS4yMDAwAQAAAOibAQACAAAABTE3NDQzAQgAAAAFAAAAATEBAAAACy0xOTA4MDI1MDI0AwAAAAI1MAIAAAAEMTI3NQQAAAABMAcAAAAIMi81LzIwMjYIAAAACjEyLzMxLzIwMjUJAAAAATB8iVqewWTeCBZQB7fBZN4IH0NJUS5JUTEwNTQ0OC5JUV9DQVNIX0VRVUlWLjIwMDABAAAA6JsBAAIAAAAEMTIzNgEIAAAABQAAAAExAQAAAAstMTkwODAyNTAyNAMAAAACNTACAAAABDEwOTYEAAAAATAHAAAACDIvNS8yMDI2CAAAAAoxMi8zMS8yMDI1CQAAAAEwfIlansFk3ggXewe3wWTeCB5DSVEuSVE0MTE5NTAuSVFfTklfTUFSR0lOLjIwMDABAAAALkkGAAIAAAAGNS4xNTY5AQgAAAAFAAAAATEBAAAACy0xOTE4Njc5MDg3AwAAAAMxNjACAAAABDQwOTQE</t>
  </si>
  <si>
    <t>AAAAATAHAAAACDIvNS8yMDI2CAAAAAkxMC8zLzIwMjUJAAAAATB8iVqewWTeCPlgALfBZN4IHkNJUS5JUTEwNTQ0OC5JUV9UT1RBTF9SRVYuMTAwMAEAAADomwEAAgAAAAUxNDY2MgEIAAAABQAAAAExAQAAAAstMTkxMzA2NDI4MAMAAAACNTACAAAAAjI4BAAAAAEwBwAAAAgyLzUvMjAyNggAAAAJOS8zMC8yMDI1CQAAAAEwfIlansFk3gj5YAC3wWTeCCNDSVEuSVExMDU0NDguSVFfRElMVVRfRVBTX0lOQ0wuMTAwMAEAAADomwEAAgAAAAgwLjc2NjQ1MQEIAAAABQAAAAExAQAAAAstMTkxMzA2NDI4MAMAAAACNTACAAAAATgEAAAAATAHAAAACDIvNS8yMDI2CAAAAAk5LzMwLzIwMjUJAAAAATB8iVqewWTeCPlgALfBZN4IMENJUS5JUTI1MTQxMS5JUV9FUFNfMVlSX0FOTl9HUk9XVEguMjAwMC4yLzYvMjAyNgEAAAAT1gMAAgAAAAczOS4wMjQzAQgAAAAFAAAAATEBAAAACy0xOTE0MjI2MzYyAwAAAAMxNjACAAAABDQyMDAEAAAAATAHAAAACDIvNi8yMDI2CAAAAAkxMS8xLzIwMjUJAAAAATB8iVqewWTeCMgrALfBZN4IMENJUS5JUTQxMTk1MC5JUV9FUFNfMVlSX0FOTl9HUk9XVEguMjAwMC4yLzYvMjAyNgEAAAAuSQYAAgAAAAgtODEuMjg5MwEIAAAABQAAAAExAQAAAAstMTkxODY3OTA4NwMAAAADMTYwAgAAAAQ0MjAwBAAAAAEwBwAAAAgyLzYvMjAyNggAAAAJMTAvMy8yMDI1CQAAAAEwfIlansFk3gjI</t>
  </si>
  <si>
    <t>KwC3wWTeCDZDSVEuSVExMDU0NDguSVFfVE9UQUxfUkVWXzFZUl9BTk5fR1JPV1RILjIwMDAuMi82LzIwMjYBAAAA6JsBAAIAAAAGMS41MTkzAQgAAAAFAAAAATEBAAAACy0xOTA4MDI1MDI0AwAAAAI1MAIAAAAENDE5NAQAAAABMAcAAAAIMi82LzIwMjYIAAAACjEyLzMxLzIwMjUJAAAAATB8iVqewWTeCLgEALfBZN4IIkNJUS5JUTI1MTQxMS5JUV9FQklUREFfTUFSR0lOLjIwMDABAAAAE9YDAAIAAAAHNDUuMzIyMQEIAAAABQAAAAExAQAAAAstMTkxNDIyNjM2MgMAAAADMTYwAgAAAAQ0MDQ3BAAAAAEwBwAAAAgyLzUvMjAyNggAAAAJMTEvMS8yMDI1CQAAAAEwfIlansFk3gir3f+2wWTeCB5DSVEuSVExMDU0NDguSVFfTklfTUFSR0lOLjIwMDABAAAA6JsBAAIAAAAGNi44NzkxAQgAAAAFAAAAATEBAAAACy0xOTA4MDI1MDI0AwAAAAI1MAIAAAAENDA5NAQAAAABMAcAAAAIMi81LzIwMjYIAAAACjEyLzMxLzIwMjUJAAAAATB8iVqewWTeCJ62/7bBZN4IIkNJUS5JUTE0MDI4My5JUV9FQklUREFfTUFSR0lOLjIwMDABAAAA+yMCAAIAAAAHNDUuNTcxNwEIAAAABQAAAAExAQAAAAstMTkwODg2MjY0NAMAAAADMTYwAgAAAAQ0MDQ3BAAAAAEwBwAAAAgyLzUvMjAyNggAAAAKMTIvMzEvMjAyNQkAAAABMLqwWp7BZN4IaY//tsFk3ggiQ0lRLklRNDExOTUwLklRX0VCSVREQV9NQVJHSU4uMjAwMAEAAAAuSQYA</t>
  </si>
  <si>
    <t>AgAAAAczMC4xMzE4AQgAAAAFAAAAATEBAAAACy0xOTE4Njc5MDg3AwAAAAMxNjACAAAABDQwNDcEAAAAATAHAAAACDIvNS8yMDI2CAAAAAkxMC8zLzIwMjUJAAAAATB8iVqewWTeCBto/7bBZN4INkNJUS5JUTkzNDQ2Ny5JUV9UT1RBTF9SRVZfMVlSX0FOTl9HUk9XVEguMjAwMC4yLzYvMjAyNgEAAABDQg4AAgAAAActMi43MzUxAQgAAAAFAAAAATEBAAAACy0xOTA4MTcxNTk3AwAAAAMxNjACAAAABDQxOTQEAAAAATAHAAAACDIvNi8yMDI2CAAAAAoxMi8zMS8yMDI1CQAAAAEwfIlansFk3gjJM/+2wWTeCB1DSVEuSVE0MTE5NTAuSVFfT1BFUl9JTkMuMjAwMAEAAAAuSQYAAgAAAAYxMjI2LjgBCAAAAAUAAAABMQEAAAALLTE5MTg2NzkwODcDAAAAAzE2MAIAAAACMjEEAAAAATAHAAAACDIvNS8yMDI2CAAAAAkxMC8zLzIwMjUJAAAAATB8iVqewWTeCNNqCLfBZN4IH0NJUS5JUTQxMTk1MC5JUV9UT1RBTF9ERUJULjIwMDABAAAALkkGAAIAAAAGMzYzMi44AQgAAAAFAAAAATEBAAAACy0xOTE4Njc5MDg3AwAAAAMxNjACAAAABDQxNzMEAAAAATAHAAAACDIvNS8yMDI2CAAAAAkxMC8zLzIwMjUJAAAAATB8iVqewWTeCDefCLfBZN4IIUNJUS5JUTQxMTk1MC5JUV9UT1RBTF9FUVVJVFkuMjAwMAEAAAAuSQYAAgAAAAY3OTI2LjEBCAAAAAUAAAABMQEAAAALLTE5MTg2NzkwODcDAAAAAzE2MAIAAAAEMTI3NQQA</t>
  </si>
  <si>
    <t>AAABMAcAAAAIMi81LzIwMjYIAAAACTEwLzMvMjAyNQkAAAABMHyJWp7BZN4IN58It8Fk3ggfQ0lRLklRNDExOTUwLklRX0NBU0hfRVFVSVYuMjAwMAEAAAAuSQYAAgAAAAYyNDcyLjUBCAAAAAUAAAABMQEAAAALLTE5MTg2NzkwODcDAAAAAzE2MAIAAAAEMTA5NgQAAAABMAcAAAAIMi81LzIwMjYIAAAACTEwLzMvMjAyNQkAAAABMHyJWp7BZN4IN58It8Fk3gghQ0lRLklRMzE1MDAuSVFfRUJJVERBX01BUkdJTi4yMDAwAQAAAAx7AAACAAAABzIwLjcxOTcBCAAAAAUAAAABMQEAAAALLTE5MTgxNjkzMTgDAAAAAzE2MAIAAAAENDA0NwQAAAABMAcAAAAIMi81LzIwMjYIAAAACTkvMzAvMjAyNQkAAAABMHyJWp7BZN4IAwz/tsFk3ggjQ0lRLklRMjUxNDExLklRX0RJTFVUX0VQU19JTkNMLjEwMDABAAAAE9YDAAIAAAAENC41NgEIAAAABQAAAAExAQAAAAstMTkxNDIyNzUxNwMAAAADMTYwAgAAAAE4BAAAAAEwBwAAAAgyLzUvMjAyNggAAAAJMTEvMS8yMDI1CQAAAAEwfIlansFk3ggDDP+2wWTeCDZDSVEuSVEyNTE0MTEuSVFfVE9UQUxfUkVWXzFZUl9BTk5fR1JPV1RILjIwMDAuMi82LzIwMjYBAAAAE9YDAAIAAAAHMTYuODkzMgEIAAAABQAAAAExAQAAAAstMTkxNDIyNjM2MgMAAAADMTYwAgAAAAQ0MTk0BAAAAAEwBwAAAAgyLzYvMjAyNggAAAAJMTEvMS8yMDI1CQAAAAEwfIlansFk3gjZ5P62wWTeCBxD</t>
  </si>
  <si>
    <t>SVEuSVEzMTUwMC5JUV9PUEVSX0lOQy4yMDAwAQAAAAx7AAACAAAABTE1NS4yAQgAAAAFAAAAATEBAAAACy0xOTE4MTY5MzE4AwAAAAMxNjACAAAAAjIxBAAAAAEwBwAAAAgyLzUvMjAyNggAAAAJOS8zMC8yMDI1CQAAAAEwfIlansFk3gghXAO3wWTeCB5DSVEuSVEzMTUwMC5JUV9UT1RBTF9ERUJULjIwMDABAAAADHsAAAIAAAAGNTQxMi43AQgAAAAFAAAAATEBAAAACy0xOTE4MTY5MzE4AwAAAAMxNjACAAAABDQxNzMEAAAAATAHAAAACDIvNS8yMDI2CAAAAAk5LzMwLzIwMjUJAAAAATB8iVqewWTeCCFcA7fBZN4IIENJUS5JUTMxNTAwLklRX1RPVEFMX0VRVUlUWS4yMDAwAQAAAAx7AAACAAAABjY2OTUuNQEIAAAABQAAAAExAQAAAAstMTkxODE2OTMxOAMAAAADMTYwAgAAAAQxMjc1BAAAAAEwBwAAAAgyLzUvMjAyNggAAAAJOS8zMC8yMDI1CQAAAAEwfIlansFk3gghXAO3wWTeCB5DSVEuSVEzMTUwMC5JUV9DQVNIX0VRVUlWLjIwMDABAAAADHsAAAIAAAAFMjM2LjgBCAAAAAUAAAABMQEAAAALLTE5MTgxNjkzMTgDAAAAAzE2MAIAAAAEMTA5NgQAAAABMAcAAAAIMi81LzIwMjYIAAAACTkvMzAvMjAyNQkAAAABMHyJWp7BZN4IIVwDt8Fk3ggeQ0lRLklRMjUxNDExLklRX05JX01BUkdJTi4yMDAwAQAAABPWAwACAAAABzIwLjU3NTMBCAAAAAUAAAABMQEAAAALLTE5MTQyMjYzNjIDAAAAAzE2MAIAAAAE</t>
  </si>
  <si>
    <t>NDA5NAQAAAABMAcAAAAIMi81LzIwMjYIAAAACTExLzEvMjAyNQkAAAABMHyJWp7BZN4I7rT+tsFk3ggdQ0lRLklRMjUxNDExLklRX09QRVJfSU5DLjIwMDABAAAAE9YDAAIAAAAIMjk5NS41MjYBCAAAAAUAAAABMQEAAAALLTE5MTQyMjYzNjIDAAAAAzE2MAIAAAACMjEEAAAAATAHAAAACDIvNS8yMDI2CAAAAAkxMS8xLzIwMjUJAAAAATB8iVqewWTeCJ6DA7fBZN4IH0NJUS5JUTI1MTQxMS5JUV9UT1RBTF9ERUJULjIwMDABAAAAE9YDAAIAAAAIODk2MS4wNjQBCAAAAAUAAAABMQEAAAALLTE5MTQyMjYzNjIDAAAAAzE2MAIAAAAENDE3MwQAAAABMAcAAAAIMi81LzIwMjYIAAAACTExLzEvMjAyNQkAAAABMHyJWp7BZN4InoMDt8Fk3gghQ0lRLklRMjUxNDExLklRX1RPVEFMX0VRVUlUWS4yMDAwAQAAABPWAwACAAAACTMzODE1Ljc1NQEIAAAABQAAAAExAQAAAAstMTkxNDIyNjM2MgMAAAADMTYwAgAAAAQxMjc1BAAAAAEwBwAAAAgyLzUvMjAyNggAAAAJMTEvMS8yMDI1CQAAAAEwurBansFk3giegwO3wWTeCB9DSVEuSVEyNTE0MTEuSVFfQ0FTSF9FUVVJVi4yMDAwAQAAABPWAwACAAAACDI0OTkuNDA2AQgAAAAFAAAAATEBAAAACy0xOTE0MjI2MzYyAwAAAAMxNjACAAAABDEwOTYEAAAAATAHAAAACDIvNS8yMDI2CAAAAAkxMS8xLzIwMjUJAAAAATC6sFqewWTeCMyyA7fBZN4INUNJUS5JUTMxNTAwLklR</t>
  </si>
  <si>
    <t>X1RPVEFMX1JFVl8xWVJfQU5OX0dST1dUSC4yMDAwLjIvNi8yMDI2AQAAAAx7AAACAAAACC0yMy4zNjM2AQgAAAAFAAAAATEBAAAACy0xOTE4MTY5MzE4AwAAAAMxNjACAAAABDQxOTQEAAAAATAHAAAACDIvNi8yMDI2CAAAAAk5LzMwLzIwMjUJAAAAATC6sFqewWTeCIyN/rbBZN4II0NJUS5JUTkzNDQ2Ny5JUV9ESUxVVF9FUFNfSU5DTC4xMDAwAQAAAENCDgACAAAABDcuOTUBCAAAAAUAAAABMQEAAAALLTE5MDgxNzE2NDQDAAAAAzE2MAIAAAABOAQAAAABMAcAAAAIMi81LzIwMjYIAAAACjEyLzMxLzIwMjUJAAAAATC6sFqewWTeCBxl/rbBZN4IIkNJUS5JUTkzNDQ2Ny5JUV9FQklUREFfTUFSR0lOLjIwMDABAAAAQ0IOAAIAAAAHMzMuNzQzNQEIAAAABQAAAAExAQAAAAstMTkwODE3MTU5NwMAAAADMTYwAgAAAAQ0MDQ3BAAAAAEwBwAAAAgyLzUvMjAyNggAAAAKMTIvMzEvMjAyNQkAAAABMLqwWp7BZN4IvlD+tsFk3ggwQ0lRLklRMTA1NDQ4LklRX0VQU18xWVJfQU5OX0dST1dUSC4yMDAwLjIvNi8yMDI2AQAAAOibAQACAAAACC0yOC4wMTMzAQgAAAAFAAAAATEBAAAACy0xOTA4MDI1MDI0AwAAAAI1MAIAAAAENDIwMAQAAAABMAcAAAAIMi82LzIwMjYIAAAACjEyLzMxLzIwMjUJAAAAATC6sFqewWTeCCc7/rbBZN4IFUNJUS4wLklRX0VQU19FU1QuMTAwMQUAAAAAAAAACAAAABQoSW52YWxpZCBJZGVu</t>
  </si>
  <si>
    <t>dGlmaWVyKbqwWp7BZN4IXAzKYMJk3ggZQ0lRLjAuSVFfUkVWRU5VRV9FU1QuMTAwMQUAAAAAAAAACAAAABQoSW52YWxpZCBJZGVudGlmaWVyKbqwWp7BZN4IXAzKYMJk3ggYQ0lRLjAuSVFfRUJJVERBX0VTVC4xMDAxBQAAAAAAAAAIAAAAFChJbnZhbGlkIElkZW50aWZpZXIpurBansFk3ghcDMpgwmTeCBRDSVEuMC5JUV9OSV9FU1QuMTAwMQUAAAAAAAAACAAAABQoSW52YWxpZCBJZGVudGlmaWVyKbqwWp7BZN4Iz+DJYMJk3ggbQ0lRLklRNDExOTUwLklRX05JX0VTVC4xMDAxAQAAAC5JBgACAAAACTk2MS43ODE3OQEOAAAABQAAAAEzAQAAAAEwAgAAAAoxMDAyMTY1OTY2AwAAAAYxMDAyNTAEAAAAATIGAAAAATAHAAAAAzE2MAgAAAABMAkAAAABMQoAAAABMAsAAAALMTQ2NDIzNjkzMTgMAAAAATENAAAACDIvNi8yMDI2EAAAAAoxMi8zMS8yMDI1urBansFk3ggsDAO3wWTeCBxDSVEuSVExNDAyODMuSVFfRVBTX0VTVC4xMDAxAQAAAPsjAgACAAAABjYuNDM5NwEOAAAABQAAAAEzAQAAAAcyNjU3NjI2AgAAAAoxMDAyNTY0MTAzAwAAAAYxMDAxNzMEAAAAATIGAAAAATAHAAAAAzE2MAgAAAABMAkAAAABMQoAAAABMAsAAAALMTQ2NDc0MzAzMDUMAAAAATENAAAACDIvNi8yMDI2EAAAAAgyLzUvMjAyNrqwWp7BZN4IG9UCt8Fk3ggfQ0lRLklROTM0NDY3LklRX0VCSVREQV9FU1QuMTAwMQEAAABDQg4AAgAA</t>
  </si>
  <si>
    <t>AAo1MzIyLjQ5NjA4AQ4AAAAFAAAAATMBAAAAATACAAAACjEwMDIxMTAyMDUDAAAABjEwMDE4NwQAAAABMgYAAAABMAcAAAADMTYwCAAAAAEwCQAAAAExCgAAAAEwCwAAAAsxNDY0NzgyMTE5NgwAAAABMQ0AAAAIMi82LzIwMjYQAAAACDIvNS8yMDI2urBansFk3ggb1QK3wWTeCCBDSVEuSVE5MzQ0NjcuSVFfUkVWRU5VRV9FU1QuMTAwMQEAAABDQg4AAgAAAAoxMzUyNC4wOTI3AQ4AAAAFAAAAATMBAAAAATACAAAACjEwMDIxMTAyMDUDAAAABjEwMDE4MAQAAAABMgYAAAABMAcAAAADMTYwCAAAAAEwCQAAAAExCgAAAAEwCwAAAAsxNDY0NzgyMTM1OAwAAAABMQ0AAAAIMi82LzIwMjYQAAAACDIvNS8yMDI2urBansFk3ggb1QK3wWTeCCBDSVEuSVE0MTE5NTAuSVFfUkVWRU5VRV9FU1QuMTAwMQEAAAAuSQYAAgAAAAo2MDAyLjMxMzc3AQ4AAAAFAAAAATMBAAAAATACAAAACjEwMDIxNjU5NjYDAAAABjEwMDE4MAQAAAABMgYAAAABMAcAAAADMTYwCAAAAAEwCQAAAAExCgAAAAEwCwAAAAsxNDY0MjM3MDE1OAwAAAABMQ0AAAAIMi82LzIwMjYQAAAACjEyLzMxLzIwMjW6sFqewWTeCBvVArfBZN4IIENJUS5JUTI1MTQxMS5JUV9SRVZFTlVFX0VTVC4xMDAxAQAAABPWAwACAAAACjEzMDk3LjI3ODQBDgAAAAUAAAABMwEAAAABMAIAAAAKMTAwNDg0MDU1NwMAAAAGMTAwMTgwBAAAAAEyBgAAAAEwBwAAAAMxNjAI</t>
  </si>
  <si>
    <t>AAAAATAJAAAAATEKAAAAATALAAAACzE0NjMyMDA0MzIxDAAAAAExDQAAAAgyLzYvMjAyNhAAAAAIMi81LzIwMja6sFqewWTeCBvVArfBZN4IG0NJUS5JUTEwNTQ0OC5JUV9OSV9FU1QuMTAwMQEAAADomwEAAgAAAAoyMTI1LjE1NzM3AQ4AAAAFAAAAATMBAAAAATACAAAACjEwMDE0MTA0MzEDAAAABjEwMDI1MAQAAAABMwYAAAABMAcAAAACNTAIAAAAATAJAAAAATEKAAAAATALAAAACzE0NjQ3OTk3MDU5DAAAAAExDQAAAAgyLzYvMjAyNhAAAAAIMi81LzIwMja6sFqewWTeCAuhArfBZN4IG0NJUS5JUTMxNTAwLklRX0VQU19FU1QuMTAwMQEAAAAMewAAAgAAAAcxLjUzNDA3AQ4AAAAFAAAAATMBAAAABzI2MzA0NTUCAAAACjEwMDQyNTE3OTMDAAAABjEwMDE3MwQAAAABMgYAAAABMAcAAAADMTYwCAAAAAEwCQAAAAExCgAAAAEwCwAAAAsxNDY0NDg0NDg4NwwAAAABMQ0AAAAIMi82LzIwMjYQAAAACDIvNS8yMDI2urBansFk3ggLoQK3wWTeCB9DSVEuSVE0MTE5NTAuSVFfRUJJVERBX0VTVC4xMDAxAQAAAC5JBgACAAAACTE3MTMuNTUzNwEOAAAABQAAAAEzAQAAAAEwAgAAAAoxMDAyMTY1OTY2AwAAAAYxMDAxODcEAAAAATIGAAAAATAHAAAAAzE2MAgAAAABMAkAAAABMQoAAAABMAsAAAALMTQ2NDIzNjk5OTAMAAAAATENAAAACDIvNi8yMDI2EAAAAAoxMi8zMS8yMDI1urBansFk3ghaSAK3wWTeCBxDSVEu</t>
  </si>
  <si>
    <t>SVE0MTE5NTAuSVFfRVBTX0VTVC4xMDAxAQAAAC5JBgACAAAABjIuMzQyNgEOAAAABQAAAAEzAQAAAAcyNjM1ODM1AgAAAAoxMDAyMTY1OTY2AwAAAAYxMDAxNzMEAAAAATIGAAAAATAHAAAAAzE2MAgAAAABMAkAAAABMQoAAAABMAsAAAALMTQ2NDIzNzA4NTQMAAAAATENAAAACDIvNi8yMDI2EAAAAAoxMi8zMS8yMDI1urBansFk3ghpIQK3wWTeCB9DSVEuSVExMDU0NDguSVFfRUJJVERBX0VTVC4xMDAxAQAAAOibAQACAAAACjQ0NjcuMzExMTMBDgAAAAUAAAABMwEAAAABMAIAAAAKMTAwMTQxMDQzMQMAAAAGMTAwMTg3BAAAAAEzBgAAAAEwBwAAAAI1MAgAAAABMAkAAAABMQoAAAABMAsAAAALMTQ2NDc5OTUzOTEMAAAAATENAAAACDIvNi8yMDI2EAAAAAgyLzUvMjAyNrqwWp7BZN4IQPoBt8Fk3gggQ0lRLklRMTA1NDQ4LklRX1JFVkVOVUVfRVNULjEwMDEBAAAA6JsBAAIAAAALMTU3NjMuMTkwODYBDgAAAAUAAAABMwEAAAABMAIAAAAKMTAwMTQxMDQzMQMAAAAGMTAwMTgwBAAAAAEzBgAAAAEwBwAAAAI1MAgAAAABMAkAAAABMQoAAAABMAsAAAALMTQ2NDc5OTU0MjEMAAAAATENAAAACDIvNi8yMDI2EAAAAAgyLzUvMjAyNrqwWp7BZN4IQPoBt8Fk3gggQ0lRLklRMTQwMjgzLklRX1JFVkVOVUVfRVNULjEwMDEBAAAA+yMCAAIAAAALMTk1NjIuMjc0NjkBDgAAAAUAAAABMwEAAAABMAIAAAAKMTAwMjU2</t>
  </si>
  <si>
    <t>NDEwMwMAAAAGMTAwMTgwBAAAAAEyBgAAAAEwBwAAAAMxNjAIAAAAATAJAAAAATEKAAAAATALAAAACzE0NjQ4NDA3NDkxDAAAAAExDQAAAAgyLzYvMjAyNhAAAAAIMi81LzIwMja6sFqewWTeCED6AbfBZN4IH0NJUS5JUTE0MDI4My5JUV9FQklUREFfRVNULjEwMDEBAAAA+yMCAAIAAAAKOTQ1Ny4wOTE0MgEOAAAABQAAAAEzAQAAAAEwAgAAAAoxMDAyNTY0MTAzAwAAAAYxMDAxODcEAAAAATIGAAAAATAHAAAAAzE2MAgAAAABMAkAAAABMQoAAAABMAsAAAALMTQ2NDg0MDc0NjcMAAAAATENAAAACDIvNi8yMDI2EAAAAAgyLzUvMjAyNrqwWp7BZN4ILtMBt8Fk3ggbQ0lRLklROTM0NDY3LklRX05JX0VTVC4xMDAxAQAAAENCDgACAAAACTM1MTUuNjA5OAEOAAAABQAAAAEzAQAAAAEwAgAAAAoxMDAyMTEwMjA1AwAAAAYxMDAyNTAEAAAAATIGAAAAATAHAAAAAzE2MAgAAAABMAkAAAABMQoAAAABMAsAAAALMTQ2NDc4MjAyNzYMAAAAATENAAAACDIvNi8yMDI2EAAAAAgyLzUvMjAyNrqwWp7BZN4ILtMBt8Fk3ggfQ0lRLklRMzE1MDAuSVFfUkVWRU5VRV9FU1QuMTAwMQEAAAAMewAAAgAAAAo0NjM1LjE1MjE5AQ4AAAAFAAAAATMBAAAAATACAAAACjEwMDQyNTE3OTMDAAAABjEwMDE4MAQAAAABMgYAAAABMAcAAAADMTYwCAAAAAEwCQAAAAExCgAAAAEwCwAAAAsxNDY0NDg0NDc5NwwAAAABMQ0AAAAIMi82LzIw</t>
  </si>
  <si>
    <t>MjYQAAAACDIvNS8yMDI2urBansFk3gjcfQG3wWTeCBtDSVEuSVEyNTE0MTEuSVFfTklfRVNULjEwMDEBAAAAE9YDAAIAAAAKNDg4MC4xMzA5MQEOAAAABQAAAAEzAQAAAAEwAgAAAAoxMDA0ODQwNTU3AwAAAAYxMDAyNTAEAAAAATIGAAAAATAHAAAAAzE2MAgAAAABMAkAAAABMQoAAAABMAsAAAALMTQ2MzMwNDg0MTcMAAAAATENAAAACDIvNi8yMDI2EAAAAAgyLzUvMjAyNrqwWp7BZN4IRlYBt8Fk3ggaQ0lRLklRMzE1MDAuSVFfTklfRVNULjEwMDEBAAAADHsAAAIAAAAJODQ4Ljk3ODM3AQ4AAAAFAAAAATMBAAAAATACAAAACjEwMDQyNTE3OTMDAAAABjEwMDI1MAQAAAABMgYAAAABMAcAAAADMTYwCAAAAAEwCQAAAAExCgAAAAEwCwAAAAsxNDY0NDg0NDU2OQwAAAABMQ0AAAAIMi82LzIwMjYQAAAACDIvNS8yMDI2urBansFk3gj66AC3wWTeCBxDSVEuSVExMDU0NDguSVFfRVBTX0VTVC4xMDAxAQAAAOibAQACAAAABzEuNjI4NDIBDgAAAAUAAAABMwEAAAAIMzI1MTc3MTYCAAAACjEwMDE0MTA0MzEDAAAABjEwMDE3MwQAAAABMwYAAAABMAcAAAACNTAIAAAAATAJAAAAATEKAAAAATALAAAACzE0NjQ3OTk1NzA1DAAAAAExDQAAAAgyLzYvMjAyNhAAAAAIMi81LzIwMja6sFqewWTeCPlgALfBZN4IG0NJUS5JUTE0MDI4My5JUV9OSV9FU1QuMTAwMQEAAAD7IwIAAgAAAAo1ODY0LjM2NTk4AQ4AAAAFAAAA</t>
  </si>
  <si>
    <t>ATMBAAAAATACAAAACjEwMDI1NjQxMDMDAAAABjEwMDI1MAQAAAABMgYAAAABMAcAAAADMTYwCAAAAAEwCQAAAAExCgAAAAEwCwAAAAsxNDY0ODQwNzMzMQwAAAABMQ0AAAAIMi82LzIwMjYQAAAACDIvNS8yMDI2urBansFk3gietv+2wWTeCB5DSVEuSVEzMTUwMC5JUV9FQklUREFfRVNULjEwMDEBAAAADHsAAAIAAAAKMTU1NS43MjA1OAEOAAAABQAAAAEzAQAAAAEwAgAAAAoxMDA0MjUxNzkzAwAAAAYxMDAxODcEAAAAATIGAAAAATAHAAAAAzE2MAgAAAABMAkAAAABMQoAAAABMAsAAAALMTQ2MzMxNTQ2ODMMAAAAATENAAAACDIvNi8yMDI2EAAAAAgyLzUvMjAyNrqwWp7BZN4IG2j/tsFk3ggfQ0lRLklRMjUxNDExLklRX0VCSVREQV9FU1QuMTAwMQEAAAAT1gMAAgAAAAo3ODIyLjc2NzQ5AQ4AAAAFAAAAATMBAAAAATACAAAACjEwMDQ4NDA1NTcDAAAABjEwMDE4NwQAAAABMgYAAAABMAcAAAADMTYwCAAAAAEwCQAAAAExCgAAAAEwCwAAAAsxNDYzMzA0ODcyOQwAAAABMQ0AAAAIMi82LzIwMjYQAAAACDIvNS8yMDI2urBansFk3gjJM/+2wWTeCBxDSVEuSVEyNTE0MTEuSVFfRVBTX0VTVC4xMDAxAQAAABPWAwACAAAABjkuOTg3MQEOAAAABQAAAAEzAQAAAAcyNTg5OTA5AgAAAAoxMDA0ODQwNTU3AwAAAAYxMDAxNzMEAAAAATIGAAAAATAHAAAAAzE2MAgAAAABMAkAAAABMQoAAAABMAsAAAALMTQ2MzIw</t>
  </si>
  <si>
    <t>MDQ0MjMMAAAAATENAAAACDIvNi8yMDI2EAAAAAgyLzUvMjAyNrqwWp7BZN4IAwz/tsFk3ggcQ0lRLklROTM0NDY3LklRX0VQU19FU1QuMTAwMQEAAABDQg4AAgAAAAcxMy45MjkyAQ4AAAAFAAAAATMBAAAACTExMTU3NDY3NAIAAAAKMTAwMjExMDIwNQMAAAAGMTAwMTczBAAAAAEyBgAAAAEwBwAAAAMxNjAIAAAAATAJAAAAATEKAAAAATALAAAACzE0NjQ3ODIxODI0DAAAAAExDQAAAAgyLzYvMjAyNhAAAAAIMi81LzIwMja6sFqewWTeCL5Q/rbBZN4IN0NJUVJBTkdFLlJTRy5JUV9DT01QQU5ZX05BTUVfUVVJQ0tfTUFUQ0guMS41Li4uLi4uLk5BTUUEAAAABm0xCgUAAAADAAAAF1JlcHVibGljIFNlcnZpY2VzLCBJbmMuAwAAAAxSUyBHcm91cCBwbGMDAAAAFFImUyBHcm91cCBIb2xkaW5nIEFHAwAAAA5SU0cgR3JvdXAgR21iSAMAAAAVUlNHIEludGVybmF0aW9uYWwgTHRkHeaqtsFk3gicdQm3wWTeCDNDSVFSQU5HRS5SU0cuSVFfQ09NUEFOWV9JRF9RVUlDS19NQVRDSC4xLjUuLi4uLi4uSUQEAAAABm0xCgUAAAADAAAACElRMzg2MjI1AwAAAAhJUTg3NDgxNQMAAAALSVEyODA5NjU3MzkDAAAACklRMzQ3NjMzNDEDAAAAC0lRMTcxMDExMzM0HeaqtsFk3gicdQm3wWTeCB5DSVEuSVEzODYyMjUuSVFfQ09NUEFOWV9USUNLRVIBAAAAseQFAAMAAAAITllTRTpSU0cAVDgXt8Fk3ggZnCy3wWTeCDZDSVFS</t>
  </si>
  <si>
    <t>QU5HRS5XTS5JUV9DT01QQU5ZX05BTUVfUVVJQ0tfTUFUQ0guMS41Li4uLi4uLk5BTUUEAAAAI18AAAUAAAADAAAADFdhbG1hcnQgSW5jLgMAAAAWV2FzdGUgTWFuYWdlbWVudCwgSW5jLgMAAAAYV2FybmVyIE11c2ljIEdyb3VwIENvcnAuAwAAABxUaGUgV2lsbGlhbXMgQ29tcGFuaWVzLCBJbmMuAwAAAB9BZHZhbmNlZCBEcmFpbmFnZSBTeXN0ZW1zLCBJbmMu5BVZuMFk3ggAl264wWTeCDJDSVFSQU5HRS5XTS5JUV9DT01QQU5ZX0lEX1FVSUNLX01BVENILjEuNS4uLi4uLi5JRAQAAAAjXwAABQAAAAMAAAAISVEzMTMwNTUDAAAACElRMTkwNjk0AwAAAAhJUTczNDA3OAMAAAAISVEzOTAyMjUDAAAAB0lRMjQzNTXkFVm4wWTeCGXMbrjBZN4IHkNJUS5JUTMxMzA1NS5JUV9DT01QQU5ZX1RJQ0tFUgEAAADfxgQAAwAAAAxOYXNkYXFHUzpXTVQAWep8uMFk3ggIO5K4wWTeCERDSVFSQU5HRS5XQVNURSBNQU5BR0VNRU5ULklRX0NPTVBBTllfTkFNRV9RVUlDS19NQVRDSC4xLjUuLi4uLi4uTkFNRQQAAACcA7QmBQAAAAMAAAAWV2FzdGUgTWFuYWdlbWVudCwgSW5jLgMAAAAVV2FzdGUgTWFuYWdlbWVudCBJbmMuAwAAACZXYXN0ZSBNYW5hZ2VtZW50IG9mIENhbmFkYSBDb3Jwb3JhdGlvbgMAAAAiV2FzdGUgTWFuYWdlbWVudCBPZiBDb2xvcmFkbywgSW5jLgMAAAAxUyZQIDUwMCBXYXN0ZSBNYW5hZ2VtZW50</t>
  </si>
  <si>
    <t>IChQcmljZSBSZXR1cm4gVVNEKSBJbmRleBDPvrzBZN4IIDHWvMFk3ghAQ0lRUkFOR0UuV0FTVEUgTUFOQUdFTUVOVC5JUV9DT01QQU5ZX0lEX1FVSUNLX01BVENILjEuNS4uLi4uLi5JRAQAAACcA7QmBQAAAAMAAAAISVExOTA2OTQDAAAACUlRNzY1ODg3MwMAAAAKSVExMzIyODUxNwMAAAAJSVE0Mjc3OTg3AwAAAAtJUTY0OTMzMTYxMhDPvrzBZN4IJ2TWvMFk3ggWQ0lRLi5JUV9DT01QQU5ZX1RJQ0tFUgUAAAABAAAACAAAABQoSW52YWxpZCBJZGVudGlmaWVyKb/34bzBZN4Iv/fhvMFk3ggeQ0lRLklRMTkwNjk0LklRX0NPTVBBTllfVElDS0VSAQAAAOboAgADAAAAB05ZU0U6V00Av/fhvMFk3ggvNfS8wWTeCEFDSVFSQU5HRS5XQVNURSBDT05ORUNUSU9OUy5JUV9DT01QQU5ZX0lEX1FVSUNLX01BVENILjEuNS4uLi4uLi5JRAQAAADvYXQBBQAAAAMAAAAISVEzODQ1ODYDAAAAC0lRMzc4NDI3NDI5AwAAAAxJUTE3NTc0MTI2NDADAAAADElRMTc4NTk3MDA1MwMAAAAKSVEyNDQwNDQ2M3cpIMXBZN4IIlw2xcFk3ghFQ0lRUkFOR0UuV0FTVEUgQ09OTkVDVElPTlMuSVFfQ09NUEFOWV9OQU1FX1FVSUNLX01BVENILjEuNS4uLi4uLi5OQU1FBAAAAO9hdAEFAAAAAwAAABdXYXN0ZSBDb25uZWN0aW9ucywgSW5jLgMAAAAaV2FzdGUgQ29ubmVjdGlvbnMgVXMsIEluYy4DAAAAF1dhc3RlIENvbm5lY3Rpb25z</t>
  </si>
  <si>
    <t>LCBJbmMuAwAAACBXYXN0ZSBDb25uZWN0aW9ucyBvZiBDYW5hZGEgSW5jLgMAAAAkV2FzdGUgQ29ubmVjdGlvbnMgT2YgQ2FsaWZvcm5pYSBJbmMudykgxcFk3ggiXDbFwWTeCB5DSVEuSVEzODQ1ODYuSVFfQ09NUEFOWV9USUNLRVIBAAAASt4FAAMAAAAITllTRTpXQ04AO7xExcFk3ggqYFfFwWTeCDNDSVFSQU5HRS5HRkwuSVFfQ09NUEFOWV9JRF9RVUlDS19NQVRDSC4xLjUuLi4uLi4uSUQEAAAAuQJhbwUAAAADAAAACklRNTg1NzY1NzUDAAAADElRMTkyOTE3NDMzOQMAAAAKSVE0NzU3NjEwNAMAAAALSVEyNjA2MDIwODYDAAAADElRMTg2ODYyODY2NXOCp8rBZN4ICFC+ysFk3gg3Q0lRUkFOR0UuR0ZMLklRX0NPTVBBTllfTkFNRV9RVUlDS19NQVRDSC4xLjUuLi4uLi4uTkFNRQQAAAC5AmFvBQAAAAMAAAAWR0ZMIEVudmlyb25tZW50YWwgSW5jLgMAAAAfR0ZMIEVudmlyb25tZW50YWwgU2VydmljZXMgTC5QLgMAAAAHR2ZsIFNybAMAAAAbR0ZMIEludGVybmF0aW9uYWwgQ28uLCBMdGQuAwAAAAZHZmwgU2FzgqfKwWTeCAhQvsrBZN4IIENJUS5JUTU4NTc2NTc1LklRX0NPTVBBTllfVElDS0VSAQAAAL/OfQMDAAAAB1RTWDpHRkwAVGvOysFk3giX3eHKwWTeCDhDSVFSQU5HRS5DV1NULklRX0NPTVBBTllfTkFNRV9RVUlDS19NQVRDSC4xLjUuLi4uLi4uTkFNRQQAAADhBbJoBQAAAAMAAAAbQ2FzZWxs</t>
  </si>
  <si>
    <t>YSBXYXN0ZSBTeXN0ZW1zLCBJbmMuAwAAACFDV1MgVHJlZXRvcHMgLSBNYXJpZXR0YSBUVkwsIEwuUC4DAAAAIENXUyBUcmVldG9wcyAtIEJhcnRvbnMgVFZMLCBMLlAuAwAAABJDdyBTdG9ja3dlbGwsIEluYy4DAAAAE0N3IFN0b3J5dGVsbGluZyBMdGQwlwPwwWTeCFOmHPDBZN4INENJUVJBTkdFLkNXU1QuSVFfQ09NUEFOWV9JRF9RVUlDS19NQVRDSC4xLjUuLi4uLi4uSUQEAAAA4QWyaAUAAAADAAAAB0lRMjYxNzUDAAAAC0lRMjg5NDYzOTA5AwAAAAtJUTI4OTQ3NzYwMgMAAAAMSVExNjc3OTQ1MzEyAwAAAAxJUTE3NTY0OTczNzcwlwPwwWTeCFOmHPDBZN4IHUNJUS5JUTI2MTc1LklRX0NPTVBBTllfVElDS0VSAQAAAD9mAAADAAAADU5hc2RhcUdTOkNXU1QAMMMn8MFk3gjOKzrwwWTeCDdDSVFSQU5HRS5DTEguSVFfQ09NUEFOWV9OQU1FX1FVSUNLX01BVENILjEuNS4uLi4uLi5OQU1FBAAAAKvQHhIFAAAAAwAAABNDbGVhbiBIYXJib3JzLCBJbmMuAwAAABBDTCBIb2xkaW5ncyBJbmMuAwAAACBDbGVvcGF0cmEgSG9zcGl0YWxzIEdyb3VwIFMuQS5FLgMAAAAPQ0wgSG9sZGluZ3MgTExDAwAAACBDbGggUGlwZWxpbmUgU3lzdGVtIChDbGgtUHMpIEx0ZEeZ6vTBZN4IhtgC9cFk3ggzQ0lRUkFOR0UuQ0xILklRX0NPTVBBTllfSURfUVVJQ0tfTUFUQ0guMS41Li4uLi4uLklEBAAAAKvQHhIFAAAAAwAA</t>
  </si>
  <si>
    <t>AAdJUTI2NTY1AwAAAAlJUTg4NjY5MDYDAAAAC0lRMzA2ODI1ODAxAwAAAAtJUTIzODUzMzY2MwMAAAALSVEzMDQwMDkzODdHmer0wWTeCIbYAvXBZN4IHUNJUS5JUTI2NTY1LklRX0NPTVBBTllfVElDS0VSAQAAAMVnAAADAAAACE5ZU0U6Q0xIACeoDvXBZN4IP4kh9cFk3ggUQ0lRLi5JUV9URVYuMi82LzIwMjYFAAAAAAAAAAgAAAAUKEludmFsaWQgSWRlbnRpZmllcimpBrv8wWTeCKMfw2DCZN4IGkNJUS4uSVFfRUJJVERBX01BUkdJTi4yMDAwBQAAAAAAAAAIAAAAFChJbnZhbGlkIElkZW50aWZpZXIpqQa7/MFk3giM9MJgwmTeCB1DSVEuLklRX0NPTVBBTllfTkFNRS4yLzYvMjAyNgUAAAAAAAAACAAAABQoSW52YWxpZCBJZGVudGlmaWVyKakGu/zBZN4Iox/DYMJk3ggoQ0lRLi5JUV9FUFNfMVlSX0FOTl9HUk9XVEguMjAwMC4yLzYvMjAyNgUAAAAAAAAACAAAABQoSW52YWxpZCBJZGVudGlmaWVyKakGu/zBZN4I0/HBYMJk3ggaQ0lRLi5JUV9NQVJLRVRDQVAuMi82LzIwMjYFAAAAAAAAAAgAAAAUKEludmFsaWQgSWRlbnRpZmllcimpBrv8wWTeCIz0wmDCZN4IE0NJUS4uSVFfTklfRVNULjEwMDEFAAAAAAAAAAgAAAAUKEludmFsaWQgSWRlbnRpZmllcimpBrv8wWTeCO3JwmDCZN4IF0NJUS4uSVFfVEVWX0VCSVREQS4yMDAwBQAAAAAAAAAIAAAAFChJbnZhbGlkIElkZW50aWZpZXIpqQa7/MFk3gij</t>
  </si>
  <si>
    <t>H8NgwmTeCBhDSVEuLklRX1JFVkVOVUVfRVNULjEwMDEFAAAAAAAAAAgAAAAUKEludmFsaWQgSWRlbnRpZmllcimpBrv8wWTeCF+ewmDCZN4IFENJUS4uSVFfRVBTX0VTVC4xMDAxBQAAAAAAAAAIAAAAFChJbnZhbGlkIElkZW50aWZpZXIpqQa7/MFk3gijH8NgwmTeCBdDSVEuLklRX0VCSVREQV9FU1QuMTAwMQUAAAAAAAAACAAAABQoSW52YWxpZCBJZGVudGlmaWVyKakGu/zBZN4IjPTCYMJk3gguQ0lRLi5JUV9UT1RBTF9SRVZfMVlSX0FOTl9HUk9XVEguMjAwMC4yLzYvMjAyNgUAAAAAAAAACAAAABQoSW52YWxpZCBJZGVudGlmaWVyKakGu/zBZN4I7cnCYMJk3ggWQ0lRLi5JUV9OSV9NQVJHSU4uMjAwMAUAAAAAAAAACAAAABQoSW52YWxpZCBJZGVudGlmaWVyKakGu/zBZN4IX57CYMJk3ggUQ0lRLi5JUV9QRV9FWENMLjIwMDAFAAAAAAAAAAgAAAAUKEludmFsaWQgSWRlbnRpZmllcimpBrv8wWTeCO3JwmDCZN4IGkNJUS4uSVFfVEVWX1RPVEFMX1JFVi4yMDAwBQAAAAAAAAAIAAAAFChJbnZhbGlkIElkZW50aWZpZXIpqQa7/MFk3gijH8NgwmTeCB9DSVEuLklRX0RJVklERU5EX1lJRUxELjIvNi8yMDI2BQAAAAAAAAAIAAAAFChJbnZhbGlkIElkZW50aWZpZXIpqQa7/MFk3gijH8NgwmTeCB5DSVEuLklRX1RPVEFMX0RFQlRfRUJJVERBLjEwMDAFAAAAAAAAAAgAAAAUKEludmFsaWQgSWRlbnRpZmll</t>
  </si>
  <si>
    <t>cimpBrv8wWTeCKMfw2DCZN4IHENJUS4uSVFfRUZGRUNUX1RBWF9SQVRFLjEwMDAFAAAAAAAAAAgAAAAUKEludmFsaWQgSWRlbnRpZmllcimpBrv8wWTeCIz0wmDCZN4IGENJUS4uSVFfUVVJQ0tfUkFUSU8uMTAwMAUAAAAAAAAACAAAABQoSW52YWxpZCBJZGVudGlmaWVyKakGu/zBZN4IjPTCYMJk3ggaQ0lRLi5JUV9SRVRVUk5fRVFVSVRZLjIwMDAFAAAAAAAAAAgAAAAUKEludmFsaWQgSWRlbnRpZmllcimpBrv8wWTeCO3JwmDCZN4IH0NJUS4uSVFfVE9UQUxfREVCVF9DQVBJVEFMLjEwMDAFAAAAAAAAAAgAAAAUKEludmFsaWQgSWRlbnRpZmllcimpBrv8wWTeCKMfw2DCZN4IFUNJUS4uSVFfRUJJVF9JTlQuMTAwMAUAAAAAAAAACAAAABQoSW52YWxpZCBJZGVudGlmaWVyKakGu/zBZN4IjPTCYMJk3ggRQ0lRLi5JUV9TUF9MQ19MVC4FAAAAAAAAAAgAAAAUKEludmFsaWQgSWRlbnRpZmllcimpBrv8wWTeCKMfw2DCZN4IGkNJUS4uSVFfQ1VSUkVOVF9SQVRJTy4xMDAwBQAAAAAAAAAIAAAAFChJbnZhbGlkIElkZW50aWZpZXIpqQa7/MFk3gijH8NgwmTeCB5DSVEuLklRX1RPVEFMX0RFQlRfRVFVSVRZLjEwMDAFAAAAAAAAAAgAAAAUKEludmFsaWQgSWRlbnRpZmllcimpBrv8wWTeCKMfw2DCZN4IGkNJUS4uSVFfUkVUVVJOX0FTU0VUUy4yMDAwBQAAAAAAAAAIAAAAFChJbnZhbGlkIElkZW50aWZpZXIp</t>
  </si>
  <si>
    <t>qQa7/MFk3gijH8NgwmTeCBlDSVEuLklRX1NQX09VVExPT0tfV0FUQ0guBQAAAAAAAAAIAAAAFChJbnZhbGlkIElkZW50aWZpZXIpqQa7/MFk3giM9MJgwmTeCB1DSVEuLklRX0VCSVREQV9DQVBFWF9JTlQuMTAwMAUAAAAAAAAACAAAABQoSW52YWxpZCBJZGVudGlmaWVyKakGu/zBZN4Iox/DYMJk3ggXQ0lRLi5JUV9FQklUREFfSU5ULjEwMDAFAAAAAAAAAAgAAAAUKEludmFsaWQgSWRlbnRpZmllcimpBrv8wWTeCE9Lw2DCZN4IGUNJUS4uSVFfQkVUQV81WVIuMi82LzIwMjYFAAAAAAAAAAgAAAAUKEludmFsaWQgSWRlbnRpZmllcimpBrv8wWTeCE9Lw2DCZN4IJUNJUS5JUTM4NjIyNS5JUV9DT01QQU5ZX05BTUUuMi82LzIwMjYBAAAAseQFAAMAAAAXUmVwdWJsaWMgU2VydmljZXMsIEluYy4AKC67/MFk3ghxXMhgwmTeCCFDSVEuSVEzODYyMjUuSVFfU1BfT1VUTE9PS19XQVRDSC4BAAAAseQFAAMAAAAGU3RhYmxlACguu/zBZN4IcCzGYMJk3ggZQ0lRLklRMzg2MjI1LklRX1NQX0xDX0xULgEAAACx5AUAAwAAAAJBLQAoLrv8wWTeCHAsxmDCZN4IIUNJUS5JUTM4NjIyNS5JUV9CRVRBXzVZUi4yLzYvMjAyNgEAAACx5AUAAgAAABEwLjU1Mzk0MzQwODQzNzY0MwAoLrv8wWTeCHAsxmDCZN4IIkNJUS5JUTM4NjIyNS5JUV9URVZfVE9UQUxfUkVWLjIwMDABAAAAseQFAAIAAAAQNC45MDY2NjQ0ODMyMDIw</t>
  </si>
  <si>
    <t>NAEHAAAABQAAAAExAQAAAAstMTkxOTAwMTU0NAMAAAABMAIAAAAGMTAwMDYxBAAAAAEwBwAAAAgyLzQvMjAyNggAAAAIMi80LzIwMjYoLrv8wWTeCLKJyWDCZN4IHENJUS5JUTM4NjIyNS5JUV9QRV9FWENMLjIwMDABAAAAseQFAAIAAAAQMzIuNDIyNTY5MTk4ODU2NAEHAAAABQAAAAExAQAAAAstMTkxOTAwMTU0NAMAAAABMAIAAAAGMTAwMDY2BAAAAAEwBwAAAAgyLzQvMjAyNggAAAAIMi80LzIwMjYoLrv8wWTeCLheyWDCZN4IH0NJUS5JUTM4NjIyNS5JUV9URVZfRUJJVERBLjIwMDABAAAAseQFAAIAAAAQMTUuNzcyMDUzMDQxNDk5OQEHAAAABQAAAAExAQAAAAstMTkxOTAwMTU0NAMAAAABMAIAAAAGMTAwMDYzBAAAAAEwBwAAAAgyLzQvMjAyNggAAAAIMi80LzIwMjYoLrv8wWTeCLheyWDCZN4IJ0NJUS5JUTM4NjIyNS5JUV9ESVZJREVORF9ZSUVMRC4yLzYvMjAyNgEAAACx5AUAAgAAAAYxLjE0NTcAKC67/MFk3ghwLMZgwmTeCBxDSVEuSVEzODYyMjUuSVFfVEVWLjIvNi8yMDI2AQAAALHkBQACAAAADDgwOTY5Ljc3NzMwMQEGAAAABQAAAAExAQAAAAstMTkxOTAwMjY2MQMAAAADMTYwAgAAAAYxMDAwNjAEAAAAATAHAAAACDIvNC8yMDI2KC67/MFk3giyiclgwmTeCCJDSVEuSVEzODYyMjUuSVFfTUFSS0VUQ0FQLjIvNi8yMDI2AQAAALHkBQACAAAADDY3NTQ2Ljc3NzMwMgEGAAAABQAAAAExAQAA</t>
  </si>
  <si>
    <t>AAstMTkxOTAwMjY2MQMAAAADMTYwAgAAAAYxMDAwNTQEAAAAATAHAAAACDIvNC8yMDI2KC67/MFk3giyiclgwmTeCCBDSVEuSVEzODYyMjUuSVFfUkVWRU5VRV9FU1QuMTAwMQEAAACx5AUAAgAAAAsxNjY2NC44MDU2NwEOAAAABQAAAAEzAQAAAAEwAgAAAAoxMDAyMTY3NzgwAwAAAAYxMDAxODAEAAAAATIGAAAAATAHAAAAAzE2MAgAAAABMAkAAAABMQoAAAABMAsAAAALMTQ2MzEyOTI3OTIMAAAAATENAAAACDIvNi8yMDI2EAAAAAoxMi8zMS8yMDI1KC67/MFk3giyiclgwmTeCBxDSVEuSVEzODYyMjUuSVFfRVBTX0VTVC4xMDAxAQAAALHkBQACAAAABzYuODk4NDcBDgAAAAUAAAABMwEAAAAHMjY0Mjg3NgIAAAAKMTAwMjE2Nzc4MAMAAAAGMTAwMTczBAAAAAEyBgAAAAEwBwAAAAMxNjAIAAAAATAJAAAAATEKAAAAATALAAAACzE0NjMxMjkyODg4DAAAAAExDQAAAAgyLzYvMjAyNhAAAAAKMTIvMzEvMjAyNSguu/zBZN4IuF7JYMJk3ggfQ0lRLklRMzg2MjI1LklRX0VCSVREQV9FU1QuMTAwMQEAAACx5AUAAgAAAAo1MzAxLjYwMTczAQ4AAAAFAAAAATMBAAAAATACAAAACjEwMDIxNjc3ODADAAAABjEwMDE4NwQAAAABMgYAAAABMAcAAAADMTYwCAAAAAEwCQAAAAExCgAAAAEwCwAAAAsxNDYzMTI5Mjc1OAwAAAABMQ0AAAAIMi82LzIwMjYQAAAACjEyLzMxLzIwMjUoLrv8wWTeCLKJyWDCZN4IG0NJUS5J</t>
  </si>
  <si>
    <t>UTM4NjIyNS5JUV9OSV9FU1QuMTAwMQEAAACx5AUAAgAAAAoyMTU0LjIxODE0AQ4AAAAFAAAAATMBAAAAATACAAAACjEwMDIxNjc3ODADAAAABjEwMDI1MAQAAAABMgYAAAABMAcAAAADMTYwCAAAAAEwCQAAAAExCgAAAAEwCwAAAAsxNDYzMTI5MjY5MQwAAAABMQ0AAAAIMi82LzIwMjYQAAAACjEyLzMxLzIwMjUoLrv8wWTeCLKJyWDCZN4IJUNJUS5JUTM4NjIyNS5JUV9FQklUREFfQ0FQRVhfSU5ULjEwMDABAAAAseQFAAIAAAAINi4wNTAwOTIBCAAAAAUAAAABMQEAAAALLTE5NTk2MDQzNjADAAAAAzE2MAIAAAAENDE5MQQAAAABMAcAAAAIMi81LzIwMjYIAAAACjEyLzMxLzIwMjQJAAAAATAoLrv8wWTeCHAsxmDCZN4IH0NJUS5JUTM4NjIyNS5JUV9FQklUREFfSU5ULjEwMDABAAAAseQFAAIAAAAIOS40OTE2NTEBCAAAAAUAAAABMQEAAAALLTE5NTk2MDQzNjADAAAAAzE2MAIAAAAENDE5MAQAAAABMAcAAAAIMi81LzIwMjYIAAAACjEyLzMxLzIwMjQJAAAAATAoLrv8wWTeCHAsxmDCZN4IIENJUS5JUTM4NjIyNS5JUV9RVUlDS19SQVRJTy4xMDAwAQAAALHkBQACAAAACDAuNTE5NjIyAQgAAAAFAAAAATEBAAAACy0xOTU5NjA0MzYwAwAAAAMxNjACAAAABDQxMjEEAAAAATAHAAAACDIvNS8yMDI2CAAAAAoxMi8zMS8yMDI0CQAAAAEwKC67/MFk3ggKV8ZgwmTeCCJDSVEuSVEzODYyMjUuSVFfUkVUVVJO</t>
  </si>
  <si>
    <t>X0FTU0VUUy4yMDAwAQAAALHkBQACAAAABTYuMzQzAQgAAAAFAAAAATEBAAAACy0xOTE5MDAxNTQ0AwAAAAMxNjACAAAABDQxNzgEAAAAATAHAAAACDIvNS8yMDI2CAAAAAk5LzMwLzIwMjUJAAAAATAoLrv8wWTeCHAsxmDCZN4IIkNJUS5JUTM4NjIyNS5JUV9DVVJSRU5UX1JBVElPLjEwMDABAAAAseQFAAIAAAAIMC41ODI4NDgBCAAAAAUAAAABMQEAAAALLTE5NTk2MDQzNjADAAAAAzE2MAIAAAAENDAzMAQAAAABMAcAAAAIMi81LzIwMjYIAAAACjEyLzMxLzIwMjQJAAAAATAoLrv8wWTeCApXxmDCZN4IIkNJUS5JUTM4NjIyNS5JUV9SRVRVUk5fRVFVSVRZLjIwMDABAAAAseQFAAIAAAAHMTguMjQ5MwEIAAAABQAAAAExAQAAAAstMTkxOTAwMTU0NAMAAAADMTYwAgAAAAQ0MTI4BAAAAAEwBwAAAAgyLzUvMjAyNggAAAAJOS8zMC8yMDI1CQAAAAEwKC67/MFk3ghwLMZgwmTeCCRDSVEuSVEzODYyMjUuSVFfRUZGRUNUX1RBWF9SQVRFLjEwMDABAAAAseQFAAIAAAAHMTUuOTUzOQEIAAAABQAAAAExAQAAAAstMTk1OTYwNDM2MAMAAAADMTYwAgAAAAQ0Mzc2BAAAAAEwBwAAAAgyLzUvMjAyNggAAAAKMTIvMzEvMjAyNAkAAAABMCguu/zBZN4IClfGYMJk3ggdQ0lRLklRMzg2MjI1LklRX09QRVJfSU5DLjIwMDABAAAAseQFAAIAAAAEMzMyOQEIAAAABQAAAAExAQAAAAstMTkxOTAwMTU0NAMAAAADMTYwAgAA</t>
  </si>
  <si>
    <t>AAIyMQQAAAABMAcAAAAIMi81LzIwMjYIAAAACTkvMzAvMjAyNQkAAAABMCguu/zBZN4IClfGYMJk3ggfQ0lRLklRMzg2MjI1LklRX1RPVEFMX0RFQlQuMjAwMAEAAACx5AUAAgAAAAUxMzUwNgEIAAAABQAAAAExAQAAAAstMTkxOTAwMTU0NAMAAAADMTYwAgAAAAQ0MTczBAAAAAEwBwAAAAgyLzUvMjAyNggAAAAJOS8zMC8yMDI1CQAAAAEwKC67/MFk3ggKV8ZgwmTeCCFDSVEuSVEzODYyMjUuSVFfVE9UQUxfRVFVSVRZLjIwMDABAAAAseQFAAIAAAAFMTE4NzIBCAAAAAUAAAABMQEAAAALLTE5MTkwMDE1NDQDAAAAAzE2MAIAAAAEMTI3NQQAAAABMAcAAAAIMi81LzIwMjYIAAAACTkvMzAvMjAyNQkAAAABMCguu/zBZN4IClfGYMJk3ggfQ0lRLklRMzg2MjI1LklRX0NBU0hfRVFVSVYuMjAwMAEAAACx5AUAAgAAAAI4NAEIAAAABQAAAAExAQAAAAstMTkxOTAwMTU0NAMAAAADMTYwAgAAAAQxMDk2BAAAAAEwBwAAAAgyLzUvMjAyNggAAAAJOS8zMC8yMDI1CQAAAAEwKC67/MFk3ggKV8ZgwmTeCCZDSVEuSVEzODYyMjUuSVFfVE9UQUxfREVCVF9FUVVJVFkuMTAwMAEAAACx5AUAAgAAAAgxMTMuNTg4MQEIAAAABQAAAAExAQAAAAstMTk1OTYwNDM2MAMAAAADMTYwAgAAAAQ0MDM0BAAAAAEwBwAAAAgyLzUvMjAyNggAAAAKMTIvMzEvMjAyNAkAAAABMCguu/zBZN4IcCzGYMJk3ggdQ0lRLklRMzg2MjI1LklR</t>
  </si>
  <si>
    <t>X0VCSVRfSU5ULjEwMDABAAAAseQFAAIAAAAINS45OTYyODkBCAAAAAUAAAABMQEAAAALLTE5NTk2MDQzNjADAAAAAzE2MAIAAAAENDE4OQQAAAABMAcAAAAIMi81LzIwMjYIAAAACjEyLzMxLzIwMjQJAAAAATAoLrv8wWTeCApXxmDCZN4IJ0NJUS5JUTM4NjIyNS5JUV9UT1RBTF9ERUJUX0NBUElUQUwuMTAwMAEAAACx5AUAAgAAAAc1My4xODA5AQgAAAAFAAAAATEBAAAACy0xOTU5NjA0MzYwAwAAAAMxNjACAAAABDQxODYEAAAAATAHAAAACDIvNS8yMDI2CAAAAAoxMi8zMS8yMDI0CQAAAAEwKC67/MFk3ggKV8ZgwmTeCCZDSVEuSVEzODYyMjUuSVFfVE9UQUxfREVCVF9FQklUREEuMTAwMAEAAACx5AUAAgAAAAgyLjUzMjY0MgEIAAAABQAAAAExAQAAAAstMTk1OTYwNDM2MAMAAAADMTYwAgAAAAQ0MTkyBAAAAAEwBwAAAAgyLzUvMjAyNggAAAAKMTIvMzEvMjAyNAkAAAABMCguu/zBZN4IcCzGYMJk3gg2Q0lRLklRMzg2MjI1LklRX1RPVEFMX1JFVl8xWVJfQU5OX0dST1dUSC4yMDAwLjIvNi8yMDI2AQAAALHkBQACAAAABjQuMzIzNQEIAAAABQAAAAExAQAAAAstMTkxOTAwMTU0NAMAAAADMTYwAgAAAAQ0MTk0BAAAAAEwBwAAAAgyLzYvMjAyNggAAAAJOS8zMC8yMDI1CQAAAAEwKC67/MFk3giyiclgwmTeCDBDSVEuSVEzODYyMjUuSVFfRVBTXzFZUl9BTk5fR1JPV1RILjIwMDAuMi82LzIwMjYBAAAA</t>
  </si>
  <si>
    <t>seQFAAIAAAAFNy41MTgBCAAAAAUAAAABMQEAAAALLTE5MTkwMDE1NDQDAAAAAzE2MAIAAAAENDIwMAQAAAABMAcAAAAIMi82LzIwMjYIAAAACTkvMzAvMjAyNQkAAAABMCguu/zBZN4IsonJYMJk3ggeQ0lRLklRMzg2MjI1LklRX1RPVEFMX1JFVi4xMDAwAQAAALHkBQACAAAABTE2MDMyAQgAAAAFAAAAATEBAAAACy0xOTU5NjA0MzYwAwAAAAMxNjACAAAAAjI4BAAAAAEwBwAAAAgyLzUvMjAyNggAAAAKMTIvMzEvMjAyNAkAAAABMCguu/zBZN4IsonJYMJk3ggjQ0lRLklRMzg2MjI1LklRX0RJTFVUX0VQU19JTkNMLjEwMDABAAAAseQFAAIAAAAENi40OQEIAAAABQAAAAExAQAAAAstMTk1OTYwNDM2MAMAAAADMTYwAgAAAAE4BAAAAAEwBwAAAAgyLzUvMjAyNggAAAAKMTIvMzEvMjAyNAkAAAABMCguu/zBZN4IuF7JYMJk3ggeQ0lRLklRMzg2MjI1LklRX05JX01BUkdJTi4yMDAwAQAAALHkBQACAAAABzEyLjc2ODEBCAAAAAUAAAABMQEAAAALLTE5MTkwMDE1NDQDAAAAAzE2MAIAAAAENDA5NAQAAAABMAcAAAAIMi81LzIwMjYIAAAACTkvMzAvMjAyNQkAAAABMCguu/zBZN4IuF7JYMJk3ggiQ0lRLklRMzg2MjI1LklRX0VCSVREQV9NQVJHSU4uMjAwMAEAAACx5AUAAgAAAAczMS4yNjg5AQgAAAAFAAAAATEBAAAACy0xOTE5MDAxNTQ0AwAAAAMxNjACAAAABDQwNDcEAAAAATAHAAAACDIvNS8yMDI2CAAA</t>
  </si>
  <si>
    <t>AAk5LzMwLzIwMjUJAAAAATAoLrv8wWTeCLKJyWDCZN4IJUNJUS5JUTE5MDY5NC5JUV9DT01QQU5ZX05BTUUuMi82LzIwMjYBAAAA5ugCAAMAAAAWV2FzdGUgTWFuYWdlbWVudCwgSW5jLgBExecGwmTeCJxiymDCZN4IIUNJUS5JUTE5MDY5NC5JUV9TUF9PVVRMT09LX1dBVENILgEAAADm6AIAAwAAAAhOZWdhdGl2ZQBExecGwmTeCPGoxmDCZN4IGUNJUS5JUTE5MDY5NC5JUV9TUF9MQ19MVC4BAAAA5ugCAAMAAAACQS0ARMXnBsJk3gjxqMZgwmTeCCFDSVEuSVExOTA2OTQuSVFfQkVUQV81WVIuMi82LzIwMjYBAAAA5ugCAAIAAAARMC41ODU4MzAxMDMwMDUxODgARMXnBsJk3gjxqMZgwmTeCB9DSVEuSVExOTA2OTQuSVFfVEVWX0VCSVREQS4yMDAwAQAAAOboAgACAAAAEDE1LjAyMDE5NTk2MDE3NTMBBwAAAAUAAAABMQEAAAALLTE5MDg2NjYzODMDAAAAATACAAAABjEwMDA2MwQAAAABMAcAAAAIMi80LzIwMjYIAAAACDIvNC8yMDI2RMXnBsJk3ghtN8pgwmTeCBxDSVEuSVExOTA2OTQuSVFfUEVfRVhDTC4yMDAwAQAAAOboAgACAAAAEDMzLjc5NTUyMjM4ODA1OTcBBwAAAAUAAAABMQEAAAALLTE5MDg2NjYzODMDAAAAATACAAAABjEwMDA2NgQAAAABMAcAAAAIMi80LzIwMjYIAAAACDIvNC8yMDI2RMXnBsJk3gicYspgwmTeCCJDSVEuSVExOTA2OTQuSVFfVEVWX1RPVEFMX1JFVi4yMDAwAQAAAOboAgAC</t>
  </si>
  <si>
    <t>AAAAEDQuNTIwMjQyMjc3MzM0MTUBBwAAAAUAAAABMQEAAAALLTE5MDg2NjYzODMDAAAAATACAAAABjEwMDA2MQQAAAABMAcAAAAIMi80LzIwMjYIAAAACDIvNC8yMDI2RMXnBsJk3gicYspgwmTeCCdDSVEuSVExOTA2OTQuSVFfRElWSURFTkRfWUlFTEQuMi82LzIwMjYBAAAA5ugCAAIAAAAGMS40NTc0AETF5wbCZN4I8ajGYMJk3ggcQ0lRLklRMTkwNjk0LklRX1RFVi4yLzYvMjAyNgEAAADm6AIAAgAAAA0xMTM5MjguMTg2MzU3AQYAAAAFAAAAATEBAAAACy0xOTA4NjY2NTc1AwAAAAMxNjACAAAABjEwMDA2MAQAAAABMAcAAAAIMi80LzIwMjZExecGwmTeCJxiymDCZN4IIkNJUS5JUTE5MDY5NC5JUV9NQVJLRVRDQVAuMi82LzIwMjYBAAAA5ugCAAIAAAAMOTEyMjEuMTg2MzU4AQYAAAAFAAAAATEBAAAACy0xOTA4NjY2NTc1AwAAAAMxNjACAAAABjEwMDA1NAQAAAABMAcAAAAIMi80LzIwMjZExecGwmTeCJxiymDCZN4IHUNJUS5JUTE5MDY5NC5JUV9FQklUX0lOVC4xMDAwAQAAAOboAgACAAAACDUuMTY2NjY2AQgAAAAFAAAAATEBAAAACy0xOTA4NjY2NTc2AwAAAAMxNjACAAAABDQxODkEAAAAATAHAAAACDIvNS8yMDI2CAAAAAoxMi8zMS8yMDI1CQAAAAEwRMXnBsJk3gjxqMZgwmTeCCBDSVEuSVExOTA2OTQuSVFfUVVJQ0tfUkFUSU8uMTAwMAEAAADm6AIAAgAAAAgwLjc3MDQ1NgEIAAAABQAAAAEx</t>
  </si>
  <si>
    <t>AQAAAAstMTkwODY2NjU3NgMAAAADMTYwAgAAAAQ0MTIxBAAAAAEwBwAAAAgyLzUvMjAyNggAAAAKMTIvMzEvMjAyNQkAAAABMETF5wbCZN4I8ajGYMJk3gglQ0lRLklRMTkwNjk0LklRX0VCSVREQV9DQVBFWF9JTlQuMTAwMAEAAADm6AIAAgAAAAg0Ljc2NzU0MwEIAAAABQAAAAExAQAAAAstMTkwODY2NjU3NgMAAAADMTYwAgAAAAQ0MTkxBAAAAAEwBwAAAAgyLzUvMjAyNggAAAAKMTIvMzEvMjAyNQkAAAABMETF5wbCZN4I8ajGYMJk3ggiQ0lRLklRMTkwNjk0LklRX1JFVFVSTl9BU1NFVFMuMjAwMAEAAADm6AIAAgAAAAY2LjUxNTMBCAAAAAUAAAABMQEAAAALLTE5MDg2NjYzODMDAAAAAzE2MAIAAAAENDE3OAQAAAABMAcAAAAIMi81LzIwMjYIAAAACjEyLzMxLzIwMjUJAAAAATBExecGwmTeCPGoxmDCZN4IIkNJUS5JUTE5MDY5NC5JUV9SRVRVUk5fRVFVSVRZLjIwMDABAAAA5ugCAAIAAAAHMjkuNjk1OAEIAAAABQAAAAExAQAAAAstMTkwODY2NjM4MwMAAAADMTYwAgAAAAQ0MTI4BAAAAAEwBwAAAAgyLzUvMjAyNggAAAAKMTIvMzEvMjAyNQkAAAABMETF5wbCZN4I8ajGYMJk3ggmQ0lRLklRMTkwNjk0LklRX1RPVEFMX0RFQlRfRVFVSVRZLjEwMDABAAAA5ugCAAIAAAAIMjI5LjI3NjMBCAAAAAUAAAABMQEAAAALLTE5MDg2NjY1NzYDAAAAAzE2MAIAAAAENDAzNAQAAAABMAcAAAAIMi81LzIwMjYI</t>
  </si>
  <si>
    <t>AAAACjEyLzMxLzIwMjUJAAAAATBExecGwmTeCPGoxmDCZN4IJ0NJUS5JUTE5MDY5NC5JUV9UT1RBTF9ERUJUX0NBUElUQUwuMTAwMAEAAADm6AIAAgAAAAc2OS42MzAzAQgAAAAFAAAAATEBAAAACy0xOTA4NjY2NTc2AwAAAAMxNjACAAAABDQxODYEAAAAATAHAAAACDIvNS8yMDI2CAAAAAoxMi8zMS8yMDI1CQAAAAEwRMXnBsJk3gjxqMZgwmTeCCRDSVEuSVExOTA2OTQuSVFfRUZGRUNUX1RBWF9SQVRFLjEwMDABAAAA5ugCAAIAAAAHMjAuOTI4MQEIAAAABQAAAAExAQAAAAstMTkwODY2NjU3NgMAAAADMTYwAgAAAAQ0Mzc2BAAAAAEwBwAAAAgyLzUvMjAyNggAAAAKMTIvMzEvMjAyNQkAAAABMETF5wbCZN4I8ajGYMJk3ggdQ0lRLklRMTkwNjk0LklRX09QRVJfSU5DLjIwMDABAAAA5ugCAAIAAAAENDcxMgEIAAAABQAAAAExAQAAAAstMTkwODY2NjM4MwMAAAADMTYwAgAAAAIyMQQAAAABMAcAAAAIMi81LzIwMjYIAAAACjEyLzMxLzIwMjUJAAAAATBExecGwmTeCPGoxmDCZN4IH0NJUS5JUTE5MDY5NC5JUV9UT1RBTF9ERUJULjIwMDABAAAA5ugCAAIAAAAFMjI5MDcBCAAAAAUAAAABMQEAAAALLTE5MDg2NjYzODMDAAAAAzE2MAIAAAAENDE3MwQAAAABMAcAAAAIMi81LzIwMjYIAAAACjEyLzMxLzIwMjUJAAAAATBExecGwmTeCPGoxmDCZN4IIUNJUS5JUTE5MDY5NC5JUV9UT1RBTF9FUVVJVFkuMjAw</t>
  </si>
  <si>
    <t>MAEAAADm6AIAAgAAAAQ5OTkxAQgAAAAFAAAAATEBAAAACy0xOTA4NjY2MzgzAwAAAAMxNjACAAAABDEyNzUEAAAAATAHAAAACDIvNS8yMDI2CAAAAAoxMi8zMS8yMDI1CQAAAAEwRMXnBsJk3gjxqMZgwmTeCB9DSVEuSVExOTA2OTQuSVFfQ0FTSF9FUVVJVi4yMDAwAQAAAOboAgACAAAAAzIwMQEIAAAABQAAAAExAQAAAAstMTkwODY2NjM4MwMAAAADMTYwAgAAAAQxMDk2BAAAAAEwBwAAAAgyLzUvMjAyNggAAAAKMTIvMzEvMjAyNQkAAAABMETF5wbCZN4I8ajGYMJk3ggmQ0lRLklRMTkwNjk0LklRX1RPVEFMX0RFQlRfRUJJVERBLjEwMDABAAAA5ugCAAIAAAAIMy4wMjQwMjYBCAAAAAUAAAABMQEAAAALLTE5MDg2NjY1NzYDAAAAAzE2MAIAAAAENDE5MgQAAAABMAcAAAAIMi81LzIwMjYIAAAACjEyLzMxLzIwMjUJAAAAATBExecGwmTeCHjTxmDCZN4IIkNJUS5JUTE5MDY5NC5JUV9DVVJSRU5UX1JBVElPLjEwMDABAAAA5ugCAAIAAAAIMC44ODg4NDgBCAAAAAUAAAABMQEAAAALLTE5MDg2NjY1NzYDAAAAAzE2MAIAAAAENDAzMAQAAAABMAcAAAAIMi81LzIwMjYIAAAACjEyLzMxLzIwMjUJAAAAATBExecGwmTeCPGoxmDCZN4IH0NJUS5JUTE5MDY5NC5JUV9FQklUREFfSU5ULjEwMDABAAAA5ugCAAIAAAAIOC4zMDU5MjEBCAAAAAUAAAABMQEAAAALLTE5MDg2NjY1NzYDAAAAAzE2MAIAAAAENDE5MAQA</t>
  </si>
  <si>
    <t>AAABMAcAAAAIMi81LzIwMjYIAAAACjEyLzMxLzIwMjUJAAAAATBExecGwmTeCHjTxmDCZN4IHkNJUS5JUTE5MDY5NC5JUV9UT1RBTF9SRVYuMTAwMAEAAADm6AIAAgAAAAUyNTIwNAEIAAAABQAAAAExAQAAAAstMTkwODY2NjU3NgMAAAADMTYwAgAAAAIyOAQAAAABMAcAAAAIMi81LzIwMjYIAAAACjEyLzMxLzIwMjUJAAAAATBExecGwmTeCG03ymDCZN4IMENJUS5JUTE5MDY5NC5JUV9FUFNfMVlSX0FOTl9HUk9XVEguMjAwMC4yLzYvMjAyNgEAAADm6AIAAgAAAActMS42MTUzAQgAAAAFAAAAATEBAAAACy0xOTA4NjY2MzgzAwAAAAMxNjACAAAABDQyMDAEAAAAATAHAAAACDIvNi8yMDI2CAAAAAoxMi8zMS8yMDI1CQAAAAEwRMXnBsJk3gicYspgwmTeCCJDSVEuSVExOTA2OTQuSVFfRUJJVERBX01BUkdJTi4yMDAwAQAAAOboAgACAAAABzMwLjA1NDcBCAAAAAUAAAABMQEAAAALLTE5MDg2NjYzODMDAAAAAzE2MAIAAAAENDA0NwQAAAABMAcAAAAIMi81LzIwMjYIAAAACjEyLzMxLzIwMjUJAAAAATBExecGwmTeCJxiymDCZN4II0NJUS5JUTE5MDY5NC5JUV9ESUxVVF9FUFNfSU5DTC4xMDAwAQAAAOboAgACAAAAAzYuNwEIAAAABQAAAAExAQAAAAstMTkwODY2NjU3NgMAAAADMTYwAgAAAAE4BAAAAAEwBwAAAAgyLzUvMjAyNggAAAAKMTIvMzEvMjAyNQkAAAABMETF5wbCZN4InGLKYMJk3gg2Q0lRLklR</t>
  </si>
  <si>
    <t>MTkwNjk0LklRX1RPVEFMX1JFVl8xWVJfQU5OX0dST1dUSC4yMDAwLjIvNi8yMDI2AQAAAOboAgACAAAABzE0LjIzNjUBCAAAAAUAAAABMQEAAAALLTE5MDg2NjYzODMDAAAAAzE2MAIAAAAENDE5NAQAAAABMAcAAAAIMi82LzIwMjYIAAAACjEyLzMxLzIwMjUJAAAAATBExecGwmTeCJxiymDCZN4IHkNJUS5JUTE5MDY5NC5JUV9OSV9NQVJHSU4uMjAwMAEAAADm6AIAAgAAAAcxMC43NDQzAQgAAAAFAAAAATEBAAAACy0xOTA4NjY2MzgzAwAAAAMxNjACAAAABDQwOTQEAAAAATAHAAAACDIvNS8yMDI2CAAAAAoxMi8zMS8yMDI1CQAAAAEwRMXnBsJk3gicYspgwmTeCCBDSVEuSVExOTA2OTQuSVFfUkVWRU5VRV9FU1QuMTAwMQEAAADm6AIAAgAAAAsyNjUxMC4wNjk0NQEOAAAABQAAAAEzAQAAAAEwAgAAAAoxMDAyMjY3ODY2AwAAAAYxMDAxODAEAAAAATIGAAAAATAHAAAAAzE2MAgAAAABMAkAAAABMQoAAAABMAsAAAALMTQ2NDUzNDI1MzkMAAAAATENAAAACDIvNi8yMDI2EAAAAAgyLzUvMjAyNkTF5wbCZN4InGLKYMJk3ggbQ0lRLklRMTkwNjk0LklRX05JX0VTVC4xMDAxAQAAAOboAgACAAAACjMyOTMuNTYwNjUBDgAAAAUAAAABMwEAAAABMAIAAAAKMTAwMjI2Nzg2NgMAAAAGMTAwMjUwBAAAAAEyBgAAAAEwBwAAAAMxNjAIAAAAATAJAAAAATEKAAAAATALAAAACzE0NjQ1MzQxMTQ1DAAAAAExDQAAAAgy</t>
  </si>
  <si>
    <t>LzYvMjAyNhAAAAAIMi81LzIwMjZExecGwmTeCJxiymDCZN4IH0NJUS5JUTE5MDY5NC5JUV9FQklUREFfRVNULjEwMDEBAAAA5ugCAAIAAAAKODIwMC45Mjg1MQEOAAAABQAAAAEzAQAAAAEwAgAAAAoxMDAyMjY3ODY2AwAAAAYxMDAxODcEAAAAATIGAAAAATAHAAAAAzE2MAgAAAABMAkAAAABMQoAAAABMAsAAAALMTQ2NDUzNDIwMTUMAAAAATENAAAACDIvNi8yMDI2EAAAAAgyLzUvMjAyNkTF5wbCZN4InGLKYMJk3ggcQ0lRLklRMTkwNjk0LklRX0VQU19FU1QuMTAwMQEAAADm6AIAAgAAAAc4LjIxMjU5AQ4AAAAFAAAAATMBAAAABzI2NjM0NTQCAAAACjEwMDIyNjc4NjYDAAAABjEwMDE3MwQAAAABMgYAAAABMAcAAAADMTYwCAAAAAEwCQAAAAExCgAAAAEwCwAAAAsxNDY0NjA1MTQ1MAwAAAABMQ0AAAAIMi82LzIwMjYQAAAACDIvNS8yMDI2RMXnBsJk3gicYspgwmTeCCVDSVEuSVEzODQ1ODYuSVFfQ09NUEFOWV9OQU1FLjIvNi8yMDI2AQAAAEreBQADAAAAF1dhc3RlIENvbm5lY3Rpb25zLCBJbmMuAFn2fSPCZN4IXAzKYMJk3gghQ0lRLklRMzg0NTg2LklRX1NQX09VVExPT0tfV0FUQ0guAQAAAEreBQADAAAABlN0YWJsZQBZ9n0jwmTeCKWhxWDCZN4IGUNJUS5JUTM4NDU4Ni5JUV9TUF9MQ19MVC4BAAAASt4FAAMAAAAEQkJCKwBZ9n0jwmTeCKWhxWDCZN4IH0NJUS5JUTM4NDU4Ni5JUV9URVZfRUJJ</t>
  </si>
  <si>
    <t>VERBLjIwMDABAAAASt4FAAIAAAAQMjAuMzc5MzY3OTMyODM4OQEHAAAABQAAAAExAQAAAAstMTkyMTAyMjQ3MgMAAAABMAIAAAAGMTAwMDYzBAAAAAEwBwAAAAgyLzQvMjAyNggAAAAIMi80LzIwMjZZ9n0jwmTeCFwMymDCZN4IIkNJUS5JUTM4NDU4Ni5JUV9URVZfVE9UQUxfUkVWLjIwMDABAAAASt4FAAIAAAAQNS41NzcyNzg1NDM4MDE4NwEHAAAABQAAAAExAQAAAAstMTkyMTAyMjQ3MgMAAAABMAIAAAAGMTAwMDYxBAAAAAEwBwAAAAgyLzQvMjAyNggAAAAIMi80LzIwMjZZ9n0jwmTeCFwMymDCZN4IHENJUS5JUTM4NDU4Ni5JUV9QRV9FWENMLjIwMDABAAAASt4FAAIAAAAQNzAuNTUxNTI5NzQ4NzE0NAEHAAAABQAAAAExAQAAAAstMTkyMTAyMjQ3MgMAAAABMAIAAAAGMTAwMDY2BAAAAAEwBwAAAAgyLzQvMjAyNggAAAAIMi80LzIwMjZZ9n0jwmTeCG03ymDCZN4IJ0NJUS5JUTM4NDU4Ni5JUV9ESVZJREVORF9ZSUVMRC4yLzYvMjAyNgEAAABK3gUAAgAAAAYwLjc0NDMAWfZ9I8Jk3gilocVgwmTeCCJDSVEuSVEzODQ1ODYuSVFfTUFSS0VUQ0FQLjIvNi8yMDI2AQAAAEreBQACAAAADDQzMzMxLjgxNDE1MwEGAAAABQAAAAExAQAAAAstMTkyMTAyNjQ4MwMAAAADMTYwAgAAAAYxMDAwNTQEAAAAATAHAAAACDIvNC8yMDI2WfZ9I8Jk3ghtN8pgwmTeCBxDSVEuSVEzODQ1ODYuSVFfVEVWLjIvNi8yMDI2</t>
  </si>
  <si>
    <t>AQAAAEreBQACAAAADDUyMTY5LjI2MTE1MgEGAAAABQAAAAExAQAAAAstMTkyMTAyNjQ4MwMAAAADMTYwAgAAAAYxMDAwNjAEAAAAATAHAAAACDIvNC8yMDI2WfZ9I8Jk3ghtN8pgwmTeCCFDSVEuSVEzODQ1ODYuSVFfQkVUQV81WVIuMi82LzIwMjYBAAAASt4FAAIAAAARMC42MTgyMjc0ODMxODU3MDIAWfZ9I8Jk3gilocVgwmTeCB9DSVEuSVEzODQ1ODYuSVFfRUJJVERBX0lOVC4xMDAwAQAAAEreBQACAAAACDcuNDc1NzU5AQgAAAAFAAAAATEBAAAACy0xOTU5OTIxNDA3AwAAAAMxNjACAAAABDQxOTAEAAAAATAHAAAACDIvNS8yMDI2CAAAAAoxMi8zMS8yMDI0CQAAAAEwWfZ9I8Jk3gilocVgwmTeCB1DSVEuSVEzODQ1ODYuSVFfRUJJVF9JTlQuMTAwMAEAAABK3gUAAgAAAAgzLjc1MTUxNAEIAAAABQAAAAExAQAAAAstMTk1OTkyMTQwNwMAAAADMTYwAgAAAAQ0MTg5BAAAAAEwBwAAAAgyLzUvMjAyNggAAAAKMTIvMzEvMjAyNAkAAAABMFn2fSPCZN4IpaHFYMJk3ggiQ0lRLklRMzg0NTg2LklRX0NVUlJFTlRfUkFUSU8uMTAwMAEAAABK3gUAAgAAAAgwLjY1MzAxNwEIAAAABQAAAAExAQAAAAstMTk1OTkyMTQwNwMAAAADMTYwAgAAAAQ0MDMwBAAAAAEwBwAAAAgyLzUvMjAyNggAAAAKMTIvMzEvMjAyNAkAAAABMFn2fSPCZN4IpaHFYMJk3ggkQ0lRLklRMzg0NTg2LklRX0VGRkVDVF9UQVhfUkFURS4x</t>
  </si>
  <si>
    <t>MDAwAQAAAEreBQACAAAABzE5LjE4NDIBCAAAAAUAAAABMQEAAAALLTE5NTk5MjE0MDcDAAAAAzE2MAIAAAAENDM3NgQAAAABMAcAAAAIMi81LzIwMjYIAAAACjEyLzMxLzIwMjQJAAAAATBZ9n0jwmTeCKWhxWDCZN4IHUNJUS5JUTM4NDU4Ni5JUV9PUEVSX0lOQy4yMDAwAQAAAEreBQACAAAACDEyNzEuNTE2AQgAAAAFAAAAATEBAAAACy0xOTIxMDIyNDcyAwAAAAMxNjACAAAAAjIxBAAAAAEwBwAAAAgyLzUvMjAyNggAAAAJOS8zMC8yMDI1CQAAAAEwWfZ9I8Jk3gilocVgwmTeCB9DSVEuSVEzODQ1ODYuSVFfVE9UQUxfREVCVC4yMDAwAQAAAEreBQACAAAACDg5NTcuMzc3AQgAAAAFAAAAATEBAAAACy0xOTIxMDIyNDcyAwAAAAMxNjACAAAABDQxNzMEAAAAATAHAAAACDIvNS8yMDI2CAAAAAk5LzMwLzIwMjUJAAAAATBZ9n0jwmTeCKWhxWDCZN4IIUNJUS5JUTM4NDU4Ni5JUV9UT1RBTF9FUVVJVFkuMjAwMAEAAABK3gUAAgAAAAg4MDkzLjM2OAEIAAAABQAAAAExAQAAAAstMTkyMTAyMjQ3MgMAAAADMTYwAgAAAAQxMjc1BAAAAAEwBwAAAAgyLzUvMjAyNggAAAAJOS8zMC8yMDI1CQAAAAEwWfZ9I8Jk3gilocVgwmTeCB9DSVEuSVEzODQ1ODYuSVFfQ0FTSF9FUVVJVi4yMDAwAQAAAEreBQACAAAABzExNy41OTYBCAAAAAUAAAABMQEAAAALLTE5MjEwMjI0NzIDAAAAAzE2MAIAAAAEMTA5NgQAAAABMAcA</t>
  </si>
  <si>
    <t>AAAIMi81LzIwMjYIAAAACTkvMzAvMjAyNQkAAAABMFn2fSPCZN4IpaHFYMJk3ggiQ0lRLklRMzg0NTg2LklRX1JFVFVSTl9BU1NFVFMuMjAwMAEAAABK3gUAAgAAAAYzLjg4ODEBCAAAAAUAAAABMQEAAAALLTE5MjEwMjI0NzIDAAAAAzE2MAIAAAAENDE3OAQAAAABMAcAAAAIMi81LzIwMjYIAAAACTkvMzAvMjAyNQkAAAABMFn2fSPCZN4IpaHFYMJk3ggiQ0lRLklRMzg0NTg2LklRX1JFVFVSTl9FUVVJVFkuMjAwMAEAAABK3gUAAgAAAAY3LjYwNjkBCAAAAAUAAAABMQEAAAALLTE5MjEwMjI0NzIDAAAAAzE2MAIAAAAENDEyOAQAAAABMAcAAAAIMi81LzIwMjYIAAAACTkvMzAvMjAyNQkAAAABMFn2fSPCZN4IpaHFYMJk3gglQ0lRLklRMzg0NTg2LklRX0VCSVREQV9DQVBFWF9JTlQuMTAwMAEAAABK3gUAAgAAAAg0LjI0NDUwMQEIAAAABQAAAAExAQAAAAstMTk1OTkyMTQwNwMAAAADMTYwAgAAAAQ0MTkxBAAAAAEwBwAAAAgyLzUvMjAyNggAAAAKMTIvMzEvMjAyNAkAAAABMFn2fSPCZN4ItczFYMJk3ggmQ0lRLklRMzg0NTg2LklRX1RPVEFMX0RFQlRfRUJJVERBLjEwMDABAAAASt4FAAIAAAAIMy40NDE1MTkBCAAAAAUAAAABMQEAAAALLTE5NTk5MjE0MDcDAAAAAzE2MAIAAAAENDE5MgQAAAABMAcAAAAIMi81LzIwMjYIAAAACjEyLzMxLzIwMjQJAAAAATBZ9n0jwmTeCLXMxWDCZN4IJkNJUS5JUTM4</t>
  </si>
  <si>
    <t>NDU4Ni5JUV9UT1RBTF9ERUJUX0VRVUlUWS4xMDAwAQAAAEreBQACAAAACDEwNi45NjcyAQgAAAAFAAAAATEBAAAACy0xOTU5OTIxNDA3AwAAAAMxNjACAAAABDQwMzQEAAAAATAHAAAACDIvNS8yMDI2CAAAAAoxMi8zMS8yMDI0CQAAAAEwWfZ9I8Jk3gi1zMVgwmTeCCBDSVEuSVEzODQ1ODYuSVFfUVVJQ0tfUkFUSU8uMTAwMAEAAABK3gUAAgAAAAgwLjU1NjQ4MQEIAAAABQAAAAExAQAAAAstMTk1OTkyMTQwNwMAAAADMTYwAgAAAAQ0MTIxBAAAAAEwBwAAAAgyLzUvMjAyNggAAAAKMTIvMzEvMjAyNAkAAAABMFn2fSPCZN4ItczFYMJk3ggnQ0lRLklRMzg0NTg2LklRX1RPVEFMX0RFQlRfQ0FQSVRBTC4xMDAwAQAAAEreBQACAAAABzUxLjY4MzEBCAAAAAUAAAABMQEAAAALLTE5NTk5MjE0MDcDAAAAAzE2MAIAAAAENDE4NgQAAAABMAcAAAAIMi81LzIwMjYIAAAACjEyLzMxLzIwMjQJAAAAATBZ9n0jwmTeCLXMxWDCZN4IIkNJUS5JUTM4NDU4Ni5JUV9FQklUREFfTUFSR0lOLjIwMDABAAAASt4FAAIAAAAHMjYuNzkzNgEIAAAABQAAAAExAQAAAAstMTkyMTAyMjQ3MgMAAAADMTYwAgAAAAQ0MDQ3BAAAAAEwBwAAAAgyLzUvMjAyNggAAAAJOS8zMC8yMDI1CQAAAAEwWfZ9I8Jk3ghtN8pgwmTeCB5DSVEuSVEzODQ1ODYuSVFfVE9UQUxfUkVWLjEwMDABAAAASt4FAAIAAAAIODkxOS41OTEBCAAAAAUAAAAB</t>
  </si>
  <si>
    <t>MQEAAAALLTE5NTk5MjE0MDcDAAAAAzE2MAIAAAACMjgEAAAAATAHAAAACDIvNS8yMDI2CAAAAAoxMi8zMS8yMDI0CQAAAAEwWfZ9I8Jk3ghtN8pgwmTeCCNDSVEuSVEzODQ1ODYuSVFfRElMVVRfRVBTX0lOQ0wuMTAwMAEAAABK3gUAAgAAAAgyLjM4OTk5OQEIAAAABQAAAAExAQAAAAstMTk1OTkyMTQwNwMAAAADMTYwAgAAAAE4BAAAAAEwBwAAAAgyLzUvMjAyNggAAAAKMTIvMzEvMjAyNAkAAAABMFn2fSPCZN4IbTfKYMJk3gg2Q0lRLklRMzg0NTg2LklRX1RPVEFMX1JFVl8xWVJfQU5OX0dST1dUSC4yMDAwLjIvNi8yMDI2AQAAAEreBQACAAAABjcuNTc4OAEIAAAABQAAAAExAQAAAAstMTkyMTAyMjQ3MgMAAAADMTYwAgAAAAQ0MTk0BAAAAAEwBwAAAAgyLzYvMjAyNggAAAAJOS8zMC8yMDI1CQAAAAEwWfZ9I8Jk3ghtN8pgwmTeCB5DSVEuSVEzODQ1ODYuSVFfTklfTUFSR0lOLjIwMDABAAAASt4FAAIAAAAGNi42NTAyAQgAAAAFAAAAATEBAAAACy0xOTIxMDIyNDcyAwAAAAMxNjACAAAABDQwOTQEAAAAATAHAAAACDIvNS8yMDI2CAAAAAk5LzMwLzIwMjUJAAAAATBZ9n0jwmTeCG03ymDCZN4IMENJUS5JUTM4NDU4Ni5JUV9FUFNfMVlSX0FOTl9HUk9XVEguMjAwMC4yLzYvMjAyNgEAAABK3gUAAgAAAAgtMzQuMDk1NgEIAAAABQAAAAExAQAAAAstMTkyMTAyMjQ3MgMAAAADMTYwAgAAAAQ0MjAwBAAA</t>
  </si>
  <si>
    <t>AAEwBwAAAAgyLzYvMjAyNggAAAAJOS8zMC8yMDI1CQAAAAEwWfZ9I8Jk3ghtN8pgwmTeCBtDSVEuSVEzODQ1ODYuSVFfTklfRVNULjEwMDEBAAAASt4FAAIAAAAKMTMyOC4yMjc0MgEOAAAABQAAAAEzAQAAAAEwAgAAAAoxMDAyMjAzODk1AwAAAAYxMDAyNTAEAAAAATIGAAAAATAHAAAAAzE2MAgAAAABMAkAAAABMQoAAAABMAsAAAALMTQ2Mzc3OTI4NjYMAAAAATENAAAACDIvNi8yMDI2EAAAAAoxMi8zMS8yMDI1WfZ9I8Jk3ghtN8pgwmTeCB9DSVEuSVEzODQ1ODYuSVFfRUJJVERBX0VTVC4xMDAxAQAAAEreBQACAAAACTMxMTcuNzkyMQEOAAAABQAAAAEzAQAAAAEwAgAAAAoxMDAyMjAzODk1AwAAAAYxMDAxODcEAAAAATIGAAAAATAHAAAAAzE2MAgAAAABMAkAAAABMQoAAAABMAsAAAALMTQ2Mzc3OTMzMTEMAAAAATENAAAACDIvNi8yMDI2EAAAAAoxMi8zMS8yMDI1WfZ9I8Jk3ghcDMpgwmTeCCBDSVEuSVEzODQ1ODYuSVFfUkVWRU5VRV9FU1QuMTAwMQEAAABK3gUAAgAAAAo5NDYwLjIxMDQxAQ4AAAAFAAAAATMBAAAAATACAAAACjEwMDIyMDM4OTUDAAAABjEwMDE4MAQAAAABMgYAAAABMAcAAAADMTYwCAAAAAEwCQAAAAExCgAAAAEwCwAAAAsxNDYzNzc5MzY2MQwAAAABMQ0AAAAIMi82LzIwMjYQAAAACjEyLzMxLzIwMjVZ9n0jwmTeCG03ymDCZN4IHENJUS5JUTM4NDU4Ni5JUV9FUFNfRVNULjEw</t>
  </si>
  <si>
    <t>MDEBAAAASt4FAAIAAAAHNS4xNDA1NwEOAAAABQAAAAEzAQAAAAkzNDQ1NjAxNDYCAAAACjEwMDIyMDM4OTUDAAAABjEwMDE3MwQAAAABMgYAAAABMAcAAAADMTYwCAAAAAEwCQAAAAExCgAAAAEwCwAAAAsxNDYzNzc5NDQxMgwAAAABMQ0AAAAIMi82LzIwMjYQAAAACjEyLzMxLzIwMjVZ9n0jwmTeCG03ymDCZN4IJ0NJUS5JUTU4NTc2NTc1LklRX0NPTVBBTllfTkFNRS4yLzYvMjAyNgEAAAC/zn0DAwAAABZHRkwgRW52aXJvbm1lbnRhbCBJbmMuAFKgijDCZN4I1SjHYMJk3ggbQ0lRLklRNTg1NzY1NzUuSVFfU1BfTENfTFQuAQAAAL/OfQMDAAAAAkJCAFKgijDCZN4IVc3DYMJk3ggjQ0lRLklRNTg1NzY1NzUuSVFfU1BfT1VUTE9PS19XQVRDSC4BAAAAv859AwMAAAAGU3RhYmxlAFKgijDCZN4IVc3DYMJk3ggjQ0lRLklRNTg1NzY1NzUuSVFfQkVUQV81WVIuMi82LzIwMjYBAAAAv859AwIAAAARMC41NTgyNzAyNTY2ODU2MjEAUqCKMMJk3ghVzcNgwmTeCB5DSVEuSVE1ODU3NjU3NS5JUV9QRV9FWENMLjIwMDABAAAAv859AwIAAAAPMjY3LjQ3MDMzMzM5NjEyAQcAAAAFAAAAATEBAAAACy0xOTE3ODM4OTg0AwAAAAEwAgAAAAYxMDAwNjYEAAAAATAHAAAACDIvNC8yMDI2CAAAAAgyLzQvMjAyNlKgijDCZN4IS/7GYMJk3ggkQ0lRLklRNTg1NzY1NzUuSVFfVEVWX1RPVEFMX1JFVi4yMDAwAQAAAL/OfQMC</t>
  </si>
  <si>
    <t>AAAAEDMuNDk3ODA4ODM0OTY4ODEBBwAAAAUAAAABMQEAAAALLTE5MTc4Mzg5ODQDAAAAATACAAAABjEwMDA2MQQAAAABMAcAAAAIMi80LzIwMjYIAAAACDIvNC8yMDI2UqCKMMJk3gjVKMdgwmTeCCFDSVEuSVE1ODU3NjU3NS5JUV9URVZfRUJJVERBLjIwMDABAAAAv859AwIAAAAQMTQuNzQ0Nzk5ODc1OTAzNAEHAAAABQAAAAExAQAAAAstMTkxNzgzODk4NAMAAAABMAIAAAAGMTAwMDYzBAAAAAEwBwAAAAgyLzQvMjAyNggAAAAIMi80LzIwMjZSoIowwmTeCNUox2DCZN4IKUNJUS5JUTU4NTc2NTc1LklRX0RJVklERU5EX1lJRUxELjIvNi8yMDI2AQAAAL/OfQMCAAAABjAuMTQ0NgBSoIowwmTeCFXNw2DCZN4IJENJUS5JUTU4NTc2NTc1LklRX01BUktFVENBUC4yLzYvMjAyNgEAAAC/zn0DAgAAAAwyMDg5MC43MzAwNzgBBgAAAAUAAAABMQEAAAALLTE5MTc4NDU4NzUDAAAAAjI3AgAAAAYxMDAwNTQEAAAAATAHAAAACDIvNC8yMDI2UqCKMMJk3gjVKMdgwmTeCB5DSVEuSVE1ODU3NjU3NS5JUV9URVYuMi82LzIwMjYBAAAAv859AwIAAAAMMjg3NjUuNjMwMDc3AQYAAAAFAAAAATEBAAAACy0xOTE3ODQ1ODc1AwAAAAIyNwIAAAAGMTAwMDYwBAAAAAEwBwAAAAgyLzQvMjAyNlKgijDCZN4I1SjHYMJk3ggoQ0lRLklRNTg1NzY1NzUuSVFfVE9UQUxfREVCVF9FUVVJVFkuMTAwMAEAAAC/zn0DAgAAAAgxNDYu</t>
  </si>
  <si>
    <t>MDczNgEIAAAABQAAAAExAQAAAAstMTk1NzY5OTkxMgMAAAACMjcCAAAABDQwMzQEAAAAATAHAAAACDIvNS8yMDI2CAAAAAoxMi8zMS8yMDI0CQAAAAEwUqCKMMJk3ghVzcNgwmTeCCdDSVEuSVE1ODU3NjU3NS5JUV9FQklUREFfQ0FQRVhfSU5ULjEwMDABAAAAv859AwIAAAAIMS40OTYzMDUBCAAAAAUAAAABMQEAAAALLTE5NTc2OTk5MTIDAAAAAjI3AgAAAAQ0MTkxBAAAAAEwBwAAAAgyLzUvMjAyNggAAAAKMTIvMzEvMjAyNAkAAAABMFKgijDCZN4IVc3DYMJk3ggoQ0lRLklRNTg1NzY1NzUuSVFfVE9UQUxfREVCVF9FQklUREEuMTAwMAEAAAC/zn0DAgAAAAg1LjA2MjE0MwEIAAAABQAAAAExAQAAAAstMTk1NzY5OTkxMgMAAAACMjcCAAAABDQxOTIEAAAAATAHAAAACDIvNS8yMDI2CAAAAAoxMi8zMS8yMDI0CQAAAAEwUqCKMMJk3ghVzcNgwmTeCCFDSVEuSVE1ODU3NjU3NS5JUV9FQklUREFfSU5ULjEwMDABAAAAv859AwIAAAADMy41AQgAAAAFAAAAATEBAAAACy0xOTU3Njk5OTEyAwAAAAIyNwIAAAAENDE5MAQAAAABMAcAAAAIMi81LzIwMjYIAAAACjEyLzMxLzIwMjQJAAAAATBSoIowwmTeCFXNw2DCZN4IJENJUS5JUTU4NTc2NTc1LklRX0NVUlJFTlRfUkFUSU8uMTAwMAEAAAC/zn0DAgAAAAgwLjUzODE2NgEIAAAABQAAAAExAQAAAAstMTk1NzY5OTkxMgMAAAACMjcCAAAABDQwMzAEAAAAATAH</t>
  </si>
  <si>
    <t>AAAACDIvNS8yMDI2CAAAAAoxMi8zMS8yMDI0CQAAAAEwUqCKMMJk3ghVzcNgwmTeCCRDSVEuSVE1ODU3NjU3NS5JUV9SRVRVUk5fQVNTRVRTLjIwMDABAAAAv859AwIAAAAGMi4wODEzAQgAAAAFAAAAATEBAAAACy0xOTE3ODM4OTg0AwAAAAIyNwIAAAAENDE3OAQAAAABMAcAAAAIMi81LzIwMjYIAAAACTkvMzAvMjAyNQkAAAABMFKgijDCZN4IVc3DYMJk3ggiQ0lRLklRNTg1NzY1NzUuSVFfUVVJQ0tfUkFUSU8uMTAwMAEAAAC/zn0DAgAAAAgwLjQ0MjcyNwEIAAAABQAAAAExAQAAAAstMTk1NzY5OTkxMgMAAAACMjcCAAAABDQxMjEEAAAAATAHAAAACDIvNS8yMDI2CAAAAAoxMi8zMS8yMDI0CQAAAAEwUqCKMMJk3ghVzcNgwmTeCCRDSVEuSVE1ODU3NjU3NS5JUV9SRVRVUk5fRVFVSVRZLjIwMDABAAAAv859AwIAAAAGMS41NzcxAQgAAAAFAAAAATEBAAAACy0xOTE3ODM4OTg0AwAAAAIyNwIAAAAENDEyOAQAAAABMAcAAAAIMi81LzIwMjYIAAAACTkvMzAvMjAyNQkAAAABMFKgijDCZN4IVc3DYMJk3ggpQ0lRLklRNTg1NzY1NzUuSVFfVE9UQUxfREVCVF9DQVBJVEFMLjEwMDABAAAAv859AwIAAAAHNTkuMzYxNwEIAAAABQAAAAExAQAAAAstMTk1NzY5OTkxMgMAAAACMjcCAAAABDQxODYEAAAAATAHAAAACDIvNS8yMDI2CAAAAAoxMi8zMS8yMDI0CQAAAAEwUqCKMMJk3ghVzcNgwmTeCB9DSVEuSVE1</t>
  </si>
  <si>
    <t>ODU3NjU3NS5JUV9FQklUX0lOVC4xMDAwAQAAAL/OfQMCAAAACDAuODY2ODEyAQgAAAAFAAAAATEBAAAACy0xOTU3Njk5OTEyAwAAAAIyNwIAAAAENDE4OQQAAAABMAcAAAAIMi81LzIwMjYIAAAACjEyLzMxLzIwMjQJAAAAATBSoIowwmTeCFXNw2DCZN4IJkNJUS5JUTU4NTc2NTc1LklRX0VGRkVDVF9UQVhfUkFURS4xMDAwAQAAAL/OfQMDAAAAAk5NAQgAAAAFAAAAATEBAAAACy0xOTU3Njk5OTEyAwAAAAIyNwIAAAAENDM3NgQAAAABMAcAAAAIMi81LzIwMjYIAAAACjEyLzMxLzIwMjQJAAAAATBSoIowwmTeCFXNw2DCZN4IH0NJUS5JUTU4NTc2NTc1LklRX09QRVJfSU5DLjIwMDABAAAAv859AwIAAAAFNjU3LjYBCAAAAAUAAAABMQEAAAALLTE5MTc4Mzg5ODQDAAAAAjI3AgAAAAIyMQQAAAABMAcAAAAIMi81LzIwMjYIAAAACTkvMzAvMjAyNQkAAAABMFKgijDCZN4IVc3DYMJk3gghQ0lRLklRNTg1NzY1NzUuSVFfVE9UQUxfREVCVC4yMDAwAQAAAL/OfQMCAAAABjc4NzQuMwEIAAAABQAAAAExAQAAAAstMTkxNzgzODk4NAMAAAACMjcCAAAABDQxNzMEAAAAATAHAAAACDIvNS8yMDI2CAAAAAk5LzMwLzIwMjUJAAAAATBSoIowwmTeCFXNw2DCZN4II0NJUS5JUTU4NTc2NTc1LklRX1RPVEFMX0VRVUlUWS4yMDAwAQAAAL/OfQMCAAAABjc4MDYuMQEIAAAABQAAAAExAQAAAAstMTkxNzgzODk4NAMAAAAC</t>
  </si>
  <si>
    <t>MjcCAAAABDEyNzUEAAAAATAHAAAACDIvNS8yMDI2CAAAAAk5LzMwLzIwMjUJAAAAATBSoIowwmTeCFXNw2DCZN4IIUNJUS5JUTU4NTc2NTc1LklRX0NBU0hfRVFVSVYuMjAwMAEAAAC/zn0DAgAAAAUxOTQuNgEIAAAABQAAAAExAQAAAAstMTkxNzgzODk4NAMAAAACMjcCAAAABDEwOTYEAAAAATAHAAAACDIvNS8yMDI2CAAAAAk5LzMwLzIwMjUJAAAAATBSoIowwmTeCET4w2DCZN4IJUNJUS5JUTU4NTc2NTc1LklRX0RJTFVUX0VQU19JTkNMLjEwMDABAAAAv859AwIAAAAJLTIuMTA4NDg5AQgAAAAFAAAAATEBAAAACy0xOTU3Njk5OTEyAwAAAAIyNwIAAAABOAQAAAABMAcAAAAIMi81LzIwMjYIAAAACjEyLzMxLzIwMjQJAAAAATBSoIowwmTeCEv+xmDCZN4IIENJUS5JUTU4NTc2NTc1LklRX05JX01BUkdJTi4yMDAwAQAAAL/OfQMCAAAABzQzLjkwOTgBCAAAAAUAAAABMQEAAAALLTE5MTc4Mzg5ODQDAAAAAjI3AgAAAAQ0MDk0BAAAAAEwBwAAAAgyLzUvMjAyNggAAAAJOS8zMC8yMDI1CQAAAAEwUqCKMMJk3ghL/sZgwmTeCDJDSVEuSVE1ODU3NjU3NS5JUV9FUFNfMVlSX0FOTl9HUk9XVEguMjAwMC4yLzYvMjAyNgEAAAC/zn0DAwAAAAJOTQEIAAAABQAAAAExAQAAAAstMTkxNzgzODk4NAMAAAACMjcCAAAABDQyMDAEAAAAATAHAAAACDIvNi8yMDI2CAAAAAk5LzMwLzIwMjUJAAAAATBSoIowwmTeCEv+</t>
  </si>
  <si>
    <t>xmDCZN4IIENJUS5JUTU4NTc2NTc1LklRX1RPVEFMX1JFVi4xMDAwAQAAAL/OfQMCAAAABDc4NjIBCAAAAAUAAAABMQEAAAALLTE5NTc2OTk5MTIDAAAAAjI3AgAAAAIyOAQAAAABMAcAAAAIMi81LzIwMjYIAAAACjEyLzMxLzIwMjQJAAAAATBSoIowwmTeCNUox2DCZN4IJENJUS5JUTU4NTc2NTc1LklRX0VCSVREQV9NQVJHSU4uMjAwMAEAAAC/zn0DAgAAAAcyMi44NTc3AQgAAAAFAAAAATEBAAAACy0xOTE3ODM4OTg0AwAAAAIyNwIAAAAENDA0NwQAAAABMAcAAAAIMi81LzIwMjYIAAAACTkvMzAvMjAyNQkAAAABMFKgijDCZN4I1SjHYMJk3gg4Q0lRLklRNTg1NzY1NzUuSVFfVE9UQUxfUkVWXzFZUl9BTk5fR1JPV1RILjIwMDAuMi82LzIwMjYBAAAAv859AwIAAAAHMjcuNDk0NAEIAAAABQAAAAExAQAAAAstMTkxNzgzODk4NAMAAAACMjcCAAAABDQxOTQEAAAAATAHAAAACDIvNi8yMDI2CAAAAAk5LzMwLzIwMjUJAAAAATBSoIowwmTeCNUox2DCZN4IHkNJUS5JUTU4NTc2NTc1LklRX0VQU19FU1QuMTAwMQEAAAC/zn0DAgAAAAcwLjU5MjI0AQ4AAAAFAAAAATMBAAAACTYzNDU2OTU5NwIAAAAKMTAwNDY0MTg3OQMAAAAGMTAwMTczBAAAAAEzBgAAAAEwBwAAAAIyNwgAAAABMAkAAAABMQoAAAABMAsAAAALMTQ2NDAzMDA5NjgMAAAAATENAAAACDIvNi8yMDI2EAAAAAoxMi8zMS8yMDI1UqCKMMJk3ghL</t>
  </si>
  <si>
    <t>/sZgwmTeCCJDSVEuSVE1ODU3NjU3NS5JUV9SRVZFTlVFX0VTVC4xMDAxAQAAAL/OfQMCAAAACjY1OTYuMjQzNjYBDgAAAAUAAAABMwEAAAABMAIAAAAKMTAwNDY0MTg3OQMAAAAGMTAwMTgwBAAAAAEzBgAAAAEwBwAAAAIyNwgAAAABMAkAAAABMQoAAAABMAsAAAALMTQ2Mzc3OTM2NDIMAAAAATENAAAACDIvNi8yMDI2EAAAAAoxMi8zMS8yMDI1UqCKMMJk3gjVKMdgwmTeCB1DSVEuSVE1ODU3NjU3NS5JUV9OSV9FU1QuMTAwMQEAAAC/zn0DAgAAAAkyMjkuMTk5NjcBDgAAAAUAAAABMwEAAAABMAIAAAAKMTAwNDY0MTg3OQMAAAAGMTAwMjUwBAAAAAEzBgAAAAEwBwAAAAIyNwgAAAABMAkAAAABMQoAAAABMAsAAAALMTQ2Mzc3OTM2MDYMAAAAATENAAAACDIvNi8yMDI2EAAAAAoxMi8zMS8yMDI1UqCKMMJk3gjVKMdgwmTeCCFDSVEuSVE1ODU3NjU3NS5JUV9FQklUREFfRVNULjEwMDEBAAAAv859AwIAAAAKMTk3NS42OTYyNQEOAAAABQAAAAEzAQAAAAEwAgAAAAoxMDA0NjQxODc5AwAAAAYxMDAxODcEAAAAATMGAAAAATAHAAAAAjI3CAAAAAEwCQAAAAExCgAAAAEwCwAAAAsxNDYzNzc5MzYzNgwAAAABMQ0AAAAIMi82LzIwMjYQAAAACjEyLzMxLzIwMjVSoIowwmTeCNUox2DCZN4IJENJUS5JUTI2MTc1LklRX0NPTVBBTllfTkFNRS4yLzYvMjAyNgEAAAA/ZgAAAwAAABtDYXNlbGxhIFdhc3RlIFN5c3Rl</t>
  </si>
  <si>
    <t>bXMsIEluYy4AqKAePsJk3gjffsdgwmTeCB5DSVEuSVEyNjE3NS5JUV9URVZfRUJJVERBLjIwMDABAAAAP2YAAAIAAAAOMTguMjQxMzQ5MDg1ODIBBwAAAAUAAAABMQEAAAALLTE5MTkxMzY5MTADAAAAATACAAAABjEwMDA2MwQAAAABMAcAAAAIMi80LzIwMjYIAAAACDIvNC8yMDI2qKAePsJk3gjffsdgwmTeCBtDSVEuSVEyNjE3NS5JUV9QRV9FWENMLjIwMDABAAAAP2YAAAMAAAACTk0BBwAAAAUAAAABMQEAAAALLTE5MTkxMzY5MTADAAAAATACAAAABjEwMDA2NgQAAAABMAcAAAAIMi80LzIwMjYIAAAACDIvNC8yMDI2qKAePsJk3ggnrMdgwmTeCCFDSVEuSVEyNjE3NS5JUV9URVZfVE9UQUxfUkVWLjIwMDABAAAAP2YAAAIAAAAQNC4yNTQ1NjkxNjYwOTg1MQEHAAAABQAAAAExAQAAAAstMTkxOTEzNjkxMAMAAAABMAIAAAAGMTAwMDYxBAAAAAEwBwAAAAgyLzQvMjAyNggAAAAIMi80LzIwMjaooB4+wmTeCCesx2DCZN4IIENJUS5JUTI2MTc1LklRX0JFVEFfNVlSLjIvNi8yMDI2AQAAAD9mAAACAAAAETAuNzg4ODYwMzk2Mjg0MDAzAKigHj7CZN4ItczFYMJk3ggYQ0lRLklRMjYxNzUuSVFfU1BfTENfTFQuAQAAAD9mAAADAAAAAkJCAKigHj7CZN4ItczFYMJk3gggQ0lRLklRMjYxNzUuSVFfU1BfT1VUTE9PS19XQVRDSC4BAAAAP2YAAAMAAAAGU3RhYmxlAKigHj7CZN4ItczFYMJk3ggmQ0lRLklRMjYx</t>
  </si>
  <si>
    <t>NzUuSVFfRElWSURFTkRfWUlFTEQuMi82LzIwMjYBAAAAP2YAAAMAAAAAAKigHj7CZN4ItczFYMJk3ggbQ0lRLklRMjYxNzUuSVFfVEVWLjIvNi8yMDI2AQAAAD9mAAACAAAACzc2MzguMTA4ODk1AQYAAAAFAAAAATEBAAAACy0xOTE5MTQ0MzU5AwAAAAMxNjACAAAABjEwMDA2MAQAAAABMAcAAAAIMi80LzIwMjaooB4+wmTeCN9+x2DCZN4IIUNJUS5JUTI2MTc1LklRX01BUktFVENBUC4yLzYvMjAyNgEAAAA/ZgAAAgAAAAs2NTkxLjI2MTg5NgEGAAAABQAAAAExAQAAAAstMTkxOTE0NDM1OQMAAAADMTYwAgAAAAYxMDAwNTQEAAAAATAHAAAACDIvNC8yMDI2qKAePsJk3ggnrMdgwmTeCB9DSVEuSVEyNjE3NS5JUV9RVUlDS19SQVRJTy4xMDAwAQAAAD9mAAACAAAACDEuNzQ3NzQ1AQgAAAAFAAAAATEBAAAACy0xOTU5MTE5MTgzAwAAAAMxNjACAAAABDQxMjEEAAAAATAHAAAACDIvNS8yMDI2CAAAAAoxMi8zMS8yMDI0CQAAAAEwqKAePsJk3gi1zMVgwmTeCCFDSVEuSVEyNjE3NS5JUV9DVVJSRU5UX1JBVElPLjEwMDABAAAAP2YAAAIAAAAIMS45OTU2NzUBCAAAAAUAAAABMQEAAAALLTE5NTkxMTkxODMDAAAAAzE2MAIAAAAENDAzMAQAAAABMAcAAAAIMi81LzIwMjYIAAAACjEyLzMxLzIwMjQJAAAAATCooB4+wmTeCLXMxWDCZN4IJkNJUS5JUTI2MTc1LklRX1RPVEFMX0RFQlRfQ0FQSVRBTC4xMDAwAQAA</t>
  </si>
  <si>
    <t>AD9mAAACAAAABzQzLjg0NDQBCAAAAAUAAAABMQEAAAALLTE5NTkxMTkxODMDAAAAAzE2MAIAAAAENDE4NgQAAAABMAcAAAAIMi81LzIwMjYIAAAACjEyLzMxLzIwMjQJAAAAATCooB4+wmTeCLXMxWDCZN4IJUNJUS5JUTI2MTc1LklRX1RPVEFMX0RFQlRfRVFVSVRZLjEwMDABAAAAP2YAAAIAAAAHNzguMDc2NgEIAAAABQAAAAExAQAAAAstMTk1OTExOTE4MwMAAAADMTYwAgAAAAQ0MDM0BAAAAAEwBwAAAAgyLzUvMjAyNggAAAAKMTIvMzEvMjAyNAkAAAABMKigHj7CZN4ItczFYMJk3ggjQ0lRLklRMjYxNzUuSVFfRUZGRUNUX1RBWF9SQVRFLjEwMDABAAAAP2YAAAIAAAAHMzUuNjg5OAEIAAAABQAAAAExAQAAAAstMTk1OTExOTE4MwMAAAADMTYwAgAAAAQ0Mzc2BAAAAAEwBwAAAAgyLzUvMjAyNggAAAAKMTIvMzEvMjAyNAkAAAABMKigHj7CZN4ItczFYMJk3ggcQ0lRLklRMjYxNzUuSVFfT1BFUl9JTkMuMjAwMAEAAAA/ZgAAAgAAAAY5MS42NzUBCAAAAAUAAAABMQEAAAALLTE5MTkxMzY5MTADAAAAAzE2MAIAAAACMjEEAAAAATAHAAAACDIvNS8yMDI2CAAAAAk5LzMwLzIwMjUJAAAAATCooB4+wmTeCLXMxWDCZN4IHkNJUS5JUTI2MTc1LklRX1RPVEFMX0RFQlQuMjAwMAEAAAA/ZgAAAgAAAAgxMjQxLjkzMgEIAAAABQAAAAExAQAAAAstMTkxOTEzNjkxMAMAAAADMTYwAgAAAAQ0MTczBAAAAAEwBwAA</t>
  </si>
  <si>
    <t>AAgyLzUvMjAyNggAAAAJOS8zMC8yMDI1CQAAAAEwqKAePsJk3gi1zMVgwmTeCCBDSVEuSVEyNjE3NS5JUV9UT1RBTF9FUVVJVFkuMjAwMAEAAAA/ZgAAAgAAAAgxNTY3LjM2NAEIAAAABQAAAAExAQAAAAstMTkxOTEzNjkxMAMAAAADMTYwAgAAAAQxMjc1BAAAAAEwBwAAAAgyLzUvMjAyNggAAAAJOS8zMC8yMDI1CQAAAAEwqKAePsJk3gi1zMVgwmTeCB5DSVEuSVEyNjE3NS5JUV9DQVNIX0VRVUlWLjIwMDABAAAAP2YAAAIAAAAHMTkyLjY1MwEIAAAABQAAAAExAQAAAAstMTkxOTEzNjkxMAMAAAADMTYwAgAAAAQxMDk2BAAAAAEwBwAAAAgyLzUvMjAyNggAAAAJOS8zMC8yMDI1CQAAAAEwqKAePsJk3gi1zMVgwmTeCCVDSVEuSVEyNjE3NS5JUV9UT1RBTF9ERUJUX0VCSVREQS4xMDAwAQAAAD9mAAACAAAACDMuMjk2MDY2AQgAAAAFAAAAATEBAAAACy0xOTU5MTE5MTgzAwAAAAMxNjACAAAABDQxOTIEAAAAATAHAAAACDIvNS8yMDI2CAAAAAoxMi8zMS8yMDI0CQAAAAEwqKAePsJk3gi1zMVgwmTeCBxDSVEuSVEyNjE3NS5JUV9FQklUX0lOVC4xMDAwAQAAAD9mAAACAAAACDEuNjcwOTU1AQgAAAAFAAAAATEBAAAACy0xOTU5MTE5MTgzAwAAAAMxNjACAAAABDQxODkEAAAAATAHAAAACDIvNS8yMDI2CAAAAAoxMi8zMS8yMDI0CQAAAAEwqKAePsJk3gi1zMVgwmTeCB5DSVEuSVEyNjE3NS5JUV9FQklUREFf</t>
  </si>
  <si>
    <t>SU5ULjEwMDABAAAAP2YAAAIAAAAINS44ODYxNDEBCAAAAAUAAAABMQEAAAALLTE5NTkxMTkxODMDAAAAAzE2MAIAAAAENDE5MAQAAAABMAcAAAAIMi81LzIwMjYIAAAACjEyLzMxLzIwMjQJAAAAATCooB4+wmTeCG0DxmDCZN4IIUNJUS5JUTI2MTc1LklRX1JFVFVSTl9FUVVJVFkuMjAwMAEAAAA/ZgAAAgAAAAYwLjk4NDcBCAAAAAUAAAABMQEAAAALLTE5MTkxMzY5MTADAAAAAzE2MAIAAAAENDEyOAQAAAABMAcAAAAIMi81LzIwMjYIAAAACTkvMzAvMjAyNQkAAAABMKigHj7CZN4IbQPGYMJk3ggkQ0lRLklRMjYxNzUuSVFfRUJJVERBX0NBUEVYX0lOVC4xMDAwAQAAAD9mAAACAAAACDIuNjI5ODcyAQgAAAAFAAAAATEBAAAACy0xOTU5MTE5MTgzAwAAAAMxNjACAAAABDQxOTEEAAAAATAHAAAACDIvNS8yMDI2CAAAAAoxMi8zMS8yMDI0CQAAAAEwqKAePsJk3ghtA8ZgwmTeCCFDSVEuSVEyNjE3NS5JUV9SRVRVUk5fQVNTRVRTLjIwMDABAAAAP2YAAAIAAAAGMS43ODgxAQgAAAAFAAAAATEBAAAACy0xOTE5MTM2OTEwAwAAAAMxNjACAAAABDQxNzgEAAAAATAHAAAACDIvNS8yMDI2CAAAAAk5LzMwLzIwMjUJAAAAATCooB4+wmTeCG0DxmDCZN4IHUNJUS5JUTI2MTc1LklRX05JX01BUkdJTi4yMDAwAQAAAD9mAAACAAAABjAuODQ5OAEIAAAABQAAAAExAQAAAAstMTkxOTEzNjkxMAMAAAADMTYwAgAAAAQ0</t>
  </si>
  <si>
    <t>MDk0BAAAAAEwBwAAAAgyLzUvMjAyNggAAAAJOS8zMC8yMDI1CQAAAAEwqKAePsJk3gjffsdgwmTeCC9DSVEuSVEyNjE3NS5JUV9FUFNfMVlSX0FOTl9HUk9XVEguMjAwMC4yLzYvMjAyNgEAAAA/ZgAAAgAAAAgxMDIuNTQ0MwEIAAAABQAAAAExAQAAAAstMTkxOTEzNjkxMAMAAAADMTYwAgAAAAQ0MjAwBAAAAAEwBwAAAAgyLzYvMjAyNggAAAAJOS8zMC8yMDI1CQAAAAEwqKAePsJk3gjffsdgwmTeCB1DSVEuSVEyNjE3NS5JUV9UT1RBTF9SRVYuMTAwMAEAAAA/ZgAAAgAAAAgxNTU3LjI4MwEIAAAABQAAAAExAQAAAAstMTk1OTExOTE4MwMAAAADMTYwAgAAAAIyOAQAAAABMAcAAAAIMi81LzIwMjYIAAAACjEyLzMxLzIwMjQJAAAAATCooB4+wmTeCN9+x2DCZN4INUNJUS5JUTI2MTc1LklRX1RPVEFMX1JFVl8xWVJfQU5OX0dST1dUSC4yMDAwLjIvNi8yMDI2AQAAAD9mAAACAAAABzIwLjUzOTUBCAAAAAUAAAABMQEAAAALLTE5MTkxMzY5MTADAAAAAzE2MAIAAAAENDE5NAQAAAABMAcAAAAIMi82LzIwMjYIAAAACTkvMzAvMjAyNQkAAAABMKigHj7CZN4IJ6zHYMJk3ggiQ0lRLklRMjYxNzUuSVFfRElMVVRfRVBTX0lOQ0wuMTAwMAEAAAA/ZgAAAgAAAAgwLjIyNzIwNQEIAAAABQAAAAExAQAAAAstMTk1OTExOTE4MwMAAAADMTYwAgAAAAE4BAAAAAEwBwAAAAgyLzUvMjAyNggAAAAKMTIvMzEvMjAyNAkA</t>
  </si>
  <si>
    <t>AAABMKigHj7CZN4IJ6zHYMJk3gghQ0lRLklRMjYxNzUuSVFfRUJJVERBX01BUkdJTi4yMDAwAQAAAD9mAAACAAAABzIxLjQ2NTIBCAAAAAUAAAABMQEAAAALLTE5MTkxMzY5MTADAAAAAzE2MAIAAAAENDA0NwQAAAABMAcAAAAIMi81LzIwMjYIAAAACTkvMzAvMjAyNQkAAAABMKigHj7CZN4IJ6zHYMJk3ggeQ0lRLklRMjYxNzUuSVFfRUJJVERBX0VTVC4xMDAxAQAAAD9mAAACAAAACTQyMC44ODM1OAEOAAAABQAAAAEzAQAAAAEwAgAAAAoxMDAzMzMxMDQwAwAAAAYxMDAxODcEAAAAATIGAAAAATAHAAAAAzE2MAgAAAABMAkAAAABMQoAAAABMAsAAAALMTQ2NDA4NjUwODAMAAAAATENAAAACDIvNi8yMDI2EAAAAAoxMi8zMS8yMDI1qKAePsJk3gjffsdgwmTeCB9DSVEuSVEyNjE3NS5JUV9SRVZFTlVFX0VTVC4xMDAxAQAAAD9mAAACAAAACjE4MzguNjYwODkBDgAAAAUAAAABMwEAAAABMAIAAAAKMTAwMzMzMTA0MAMAAAAGMTAwMTgwBAAAAAEyBgAAAAEwBwAAAAMxNjAIAAAAATAJAAAAATEKAAAAATALAAAACzE0NjQwODY1MTg4DAAAAAExDQAAAAgyLzYvMjAyNhAAAAAKMTIvMzEvMjAyNaigHj7CZN4IJ6zHYMJk3ggaQ0lRLklRMjYxNzUuSVFfTklfRVNULjEwMDEBAAAAP2YAAAIAAAAINzYuODY3MTIBDgAAAAUAAAABMwEAAAABMAIAAAAKMTAwMzMzMTA0MAMAAAAGMTAwMjUwBAAAAAEyBgAAAAEwBwAA</t>
  </si>
  <si>
    <t>AAMxNjAIAAAAATAJAAAAATEKAAAAATALAAAACzE0NjQwODY0NDMxDAAAAAExDQAAAAgyLzYvMjAyNhAAAAAKMTIvMzEvMjAyNaigHj7CZN4IJ6zHYMJk3ggbQ0lRLklRMjYxNzUuSVFfRVBTX0VTVC4xMDAxAQAAAD9mAAACAAAABzEuMTk2MDYBDgAAAAUAAAABMwEAAAAHMjU5ODQ4NwIAAAAKMTAwMzMzMTA0MAMAAAAGMTAwMTczBAAAAAEyBgAAAAEwBwAAAAMxNjAIAAAAATAJAAAAATEKAAAAATALAAAACzE0NjQwODY1NDg4DAAAAAExDQAAAAgyLzYvMjAyNhAAAAAKMTIvMzEvMjAyNaigHj7CZN4IJ6zHYMJk3ggkQ0lRLklRMjY1NjUuSVFfQ09NUEFOWV9OQU1FLjIvNi8yMDI2AQAAAMVnAAADAAAAE0NsZWFuIEhhcmJvcnMsIEluYy4ATsAPSMJk3gi4XslgwmTeCBhDSVEuSVEyNjU2NS5JUV9TUF9MQ19MVC4BAAAAxWcAAAMAAAADQkIrAE7AD0jCZN4IRPjDYMJk3gggQ0lRLklRMjY1NjUuSVFfU1BfT1VUTE9PS19XQVRDSC4BAAAAxWcAAAMAAAAGU3RhYmxlAE7AD0jCZN4IRPjDYMJk3gggQ0lRLklRMjY1NjUuSVFfQkVUQV81WVIuMi82LzIwMjYBAAAAxWcAAAIAAAARMC45NDg0ODI1ODM0MDk2MzYATsAPSMJk3ghE+MNgwmTeCCFDSVEuSVEyNjU2NS5JUV9URVZfVE9UQUxfUkVWLjIwMDABAAAAxWcAAAIAAAAQMi43MzU2NDM5NTg4NjQ5MQEHAAAABQAAAAExAQAAAAstMTkxOTc0NzY2MQMAAAABMAIA</t>
  </si>
  <si>
    <t>AAAGMTAwMDYxBAAAAAEwBwAAAAgyLzQvMjAyNggAAAAIMi80LzIwMjZOwA9IwmTeCLheyWDCZN4IG0NJUS5JUTI2NTY1LklRX1BFX0VYQ0wuMjAwMAEAAADFZwAAAgAAABAzNi4yNTIwMjc5MzI0Njg4AQcAAAAFAAAAATEBAAAACy0xOTE5NzQ3NjYxAwAAAAEwAgAAAAYxMDAwNjYEAAAAATAHAAAACDIvNC8yMDI2CAAAAAgyLzQvMjAyNk7AD0jCZN4IuF7JYMJk3ggeQ0lRLklRMjY1NjUuSVFfVEVWX0VCSVREQS4yMDAwAQAAAMVnAAACAAAAEDExLjQ4Mzk1NDkwMzkzNDYBBwAAAAUAAAABMQEAAAALLTE5MTk3NDc2NjEDAAAAATACAAAABjEwMDA2MwQAAAABMAcAAAAIMi80LzIwMjYIAAAACDIvNC8yMDI2TsAPSMJk3gi4XslgwmTeCCZDSVEuSVEyNjU2NS5JUV9ESVZJREVORF9ZSUVMRC4yLzYvMjAyNgEAAADFZwAAAwAAAAAATsAPSMJk3ghE+MNgwmTeCCFDSVEuSVEyNjU2NS5JUV9NQVJLRVRDQVAuMi82LzIwMjYBAAAAxWcAAAIAAAAMMTM5NDMuMDM3MzQzAQYAAAAFAAAAATEBAAAACy0xOTE5NzUyMjYxAwAAAAMxNjACAAAABjEwMDA1NAQAAAABMAcAAAAIMi80LzIwMjZOwA9IwmTeCLheyWDCZN4IG0NJUS5JUTI2NTY1LklRX1RFVi4yLzYvMjAyNgEAAADFZwAAAgAAAAwxNjMxMC42MTIzNDMBBgAAAAUAAAABMQEAAAALLTE5MTk3NTIyNjEDAAAAAzE2MAIAAAAGMTAwMDYwBAAAAAEwBwAAAAgyLzQv</t>
  </si>
  <si>
    <t>MjAyNk7AD0jCZN4IuF7JYMJk3ggmQ0lRLklRMjY1NjUuSVFfVE9UQUxfREVCVF9DQVBJVEFMLjEwMDABAAAAxWcAAAIAAAAHNTUuNjM2NAEIAAAABQAAAAExAQAAAAstMTk1OTA0MzkxNAMAAAADMTYwAgAAAAQ0MTg2BAAAAAEwBwAAAAgyLzUvMjAyNggAAAAKMTIvMzEvMjAyNAkAAAABME7AD0jCZN4IRPjDYMJk3ggjQ0lRLklRMjY1NjUuSVFfRUZGRUNUX1RBWF9SQVRFLjEwMDABAAAAxWcAAAIAAAAHMjQuNTg0NAEIAAAABQAAAAExAQAAAAstMTk1OTA0MzkxNAMAAAADMTYwAgAAAAQ0Mzc2BAAAAAEwBwAAAAgyLzUvMjAyNggAAAAKMTIvMzEvMjAyNAkAAAABME7AD0jCZN4IRPjDYMJk3ggcQ0lRLklRMjY1NjUuSVFfT1BFUl9JTkMuMjAwMAEAAADFZwAAAgAAAAc2NTEuODk0AQgAAAAFAAAAATEBAAAACy0xOTE5NzQ3NjYxAwAAAAMxNjACAAAAAjIxBAAAAAEwBwAAAAgyLzUvMjAyNggAAAAJOS8zMC8yMDI1CQAAAAEwTsAPSMJk3ghE+MNgwmTeCB5DSVEuSVEyNjU2NS5JUV9UT1RBTF9ERUJULjIwMDABAAAAxWcAAAIAAAAIMzIxNy45NDgBCAAAAAUAAAABMQEAAAALLTE5MTk3NDc2NjEDAAAAAzE2MAIAAAAENDE3MwQAAAABMAcAAAAIMi81LzIwMjYIAAAACTkvMzAvMjAyNQkAAAABME7AD0jCZN4IRPjDYMJk3gggQ0lRLklRMjY1NjUuSVFfVE9UQUxfRVFVSVRZLjIwMDABAAAAxWcAAAIAAAAHMjc3</t>
  </si>
  <si>
    <t>NS44NAEIAAAABQAAAAExAQAAAAstMTkxOTc0NzY2MQMAAAADMTYwAgAAAAQxMjc1BAAAAAEwBwAAAAgyLzUvMjAyNggAAAAJOS8zMC8yMDI1CQAAAAEwTsAPSMJk3ghE+MNgwmTeCB5DSVEuSVEyNjU2NS5JUV9DQVNIX0VRVUlWLjIwMDABAAAAxWcAAAIAAAAHNzU5LjE5NwEIAAAABQAAAAExAQAAAAstMTkxOTc0NzY2MQMAAAADMTYwAgAAAAQxMDk2BAAAAAEwBwAAAAgyLzUvMjAyNggAAAAJOS8zMC8yMDI1CQAAAAEwTsAPSMJk3ghE+MNgwmTeCCFDSVEuSVEyNjU2NS5JUV9SRVRVUk5fQVNTRVRTLjIwMDABAAAAxWcAAAIAAAAGNS40ODg2AQgAAAAFAAAAATEBAAAACy0xOTE5NzQ3NjYxAwAAAAMxNjACAAAABDQxNzgEAAAAATAHAAAACDIvNS8yMDI2CAAAAAk5LzMwLzIwMjUJAAAAATBOwA9IwmTeCET4w2DCZN4IJUNJUS5JUTI2NTY1LklRX1RPVEFMX0RFQlRfRVFVSVRZLjEwMDABAAAAxWcAAAIAAAAIMTI1LjQxMDIBCAAAAAUAAAABMQEAAAALLTE5NTkwNDM5MTQDAAAAAzE2MAIAAAAENDAzNAQAAAABMAcAAAAIMi81LzIwMjYIAAAACjEyLzMxLzIwMjQJAAAAATBOwA9IwmTeCET4w2DCZN4IH0NJUS5JUTI2NTY1LklRX1FVSUNLX1JBVElPLjEwMDABAAAAxWcAAAIAAAAIMS43ODQyMTkBCAAAAAUAAAABMQEAAAALLTE5NTkwNDM5MTQDAAAAAzE2MAIAAAAENDEyMQQAAAABMAcAAAAIMi81LzIwMjYI</t>
  </si>
  <si>
    <t>AAAACjEyLzMxLzIwMjQJAAAAATBOwA9IwmTeCET4w2DCZN4IJUNJUS5JUTI2NTY1LklRX1RPVEFMX0RFQlRfRUJJVERBLjEwMDABAAAAxWcAAAIAAAAIMi4zNzc0MzEBCAAAAAUAAAABMQEAAAALLTE5NTkwNDM5MTQDAAAAAzE2MAIAAAAENDE5MgQAAAABMAcAAAAIMi81LzIwMjYIAAAACjEyLzMxLzIwMjQJAAAAATBOwA9IwmTeCET4w2DCZN4IJENJUS5JUTI2NTY1LklRX0VCSVREQV9DQVBFWF9JTlQuMTAwMAEAAADFZwAAAgAAAAg1Ljk5Mjg2MgEIAAAABQAAAAExAQAAAAstMTk1OTA0MzkxNAMAAAADMTYwAgAAAAQ0MTkxBAAAAAEwBwAAAAgyLzUvMjAyNggAAAAKMTIvMzEvMjAyNAkAAAABME7AD0jCZN4IRPjDYMJk3ggeQ0lRLklRMjY1NjUuSVFfRUJJVERBX0lOVC4xMDAwAQAAAMVnAAACAAAACDguNzkyMzMyAQgAAAAFAAAAATEBAAAACy0xOTU5MDQzOTE0AwAAAAMxNjACAAAABDQxOTAEAAAAATAHAAAACDIvNS8yMDI2CAAAAAoxMi8zMS8yMDI0CQAAAAEwTsAPSMJk3ghE+MNgwmTeCCFDSVEuSVEyNjU2NS5JUV9SRVRVUk5fRVFVSVRZLjIwMDABAAAAxWcAAAIAAAAHMTQuNjQzNQEIAAAABQAAAAExAQAAAAstMTkxOTc0NzY2MQMAAAADMTYwAgAAAAQ0MTI4BAAAAAEwBwAAAAgyLzUvMjAyNggAAAAJOS8zMC8yMDI1CQAAAAEwTsAPSMJk3ghE+MNgwmTeCCFDSVEuSVEyNjU2NS5JUV9DVVJSRU5U</t>
  </si>
  <si>
    <t>X1JBVElPLjEwMDABAAAAxWcAAAIAAAAIMi4yMDcxOTIBCAAAAAUAAAABMQEAAAALLTE5NTkwNDM5MTQDAAAAAzE2MAIAAAAENDAzMAQAAAABMAcAAAAIMi81LzIwMjYIAAAACjEyLzMxLzIwMjQJAAAAATBOwA9IwmTeCET4w2DCZN4IHENJUS5JUTI2NTY1LklRX0VCSVRfSU5ULjEwMDABAAAAxWcAAAIAAAAINC4zNDA4NTIBCAAAAAUAAAABMQEAAAALLTE5NTkwNDM5MTQDAAAAAzE2MAIAAAAENDE4OQQAAAABMAcAAAAIMi81LzIwMjYIAAAACjEyLzMxLzIwMjQJAAAAATBOwA9IwmTeCET4w2DCZN4IIkNJUS5JUTI2NTY1LklRX0RJTFVUX0VQU19JTkNMLjEwMDABAAAAxWcAAAIAAAAENy40MgEIAAAABQAAAAExAQAAAAstMTk1OTA0MzkxNAMAAAADMTYwAgAAAAE4BAAAAAEwBwAAAAgyLzUvMjAyNggAAAAKMTIvMzEvMjAyNAkAAAABME7AD0jCZN4IpTPJYMJk3ggdQ0lRLklRMjY1NjUuSVFfVE9UQUxfUkVWLjEwMDABAAAAxWcAAAIAAAAINTg4OS45NTIBCAAAAAUAAAABMQEAAAALLTE5NTkwNDM5MTQDAAAAAzE2MAIAAAACMjgEAAAAATAHAAAACDIvNS8yMDI2CAAAAAoxMi8zMS8yMDI0CQAAAAEwTsAPSMJk3gi4XslgwmTeCDVDSVEuSVEyNjU2NS5JUV9UT1RBTF9SRVZfMVlSX0FOTl9HUk9XVEguMjAwMC4yLzYvMjAyNgEAAADFZwAAAgAAAAYyLjg1MDYBCAAAAAUAAAABMQEAAAALLTE5MTk3NDc2NjED</t>
  </si>
  <si>
    <t>AAAAAzE2MAIAAAAENDE5NAQAAAABMAcAAAAIMi82LzIwMjYIAAAACTkvMzAvMjAyNQkAAAABME7AD0jCZN4IuF7JYMJk3ggdQ0lRLklRMjY1NjUuSVFfTklfTUFSR0lOLjIwMDABAAAAxWcAAAIAAAAGNi41MTM2AQgAAAAFAAAAATEBAAAACy0xOTE5NzQ3NjYxAwAAAAMxNjACAAAABDQwOTQEAAAAATAHAAAACDIvNS8yMDI2CAAAAAk5LzMwLzIwMjUJAAAAATBOwA9IwmTeCLheyWDCZN4IL0NJUS5JUTI2NTY1LklRX0VQU18xWVJfQU5OX0dST1dUSC4yMDAwLjIvNi8yMDI2AQAAAMVnAAACAAAABy02LjI3MzUBCAAAAAUAAAABMQEAAAALLTE5MTk3NDc2NjEDAAAAAzE2MAIAAAAENDIwMAQAAAABMAcAAAAIMi82LzIwMjYIAAAACTkvMzAvMjAyNQkAAAABME7AD0jCZN4IuF7JYMJk3gghQ0lRLklRMjY1NjUuSVFfRUJJVERBX01BUkdJTi4yMDAwAQAAAMVnAAACAAAABzE4LjQ1MjMBCAAAAAUAAAABMQEAAAALLTE5MTk3NDc2NjEDAAAAAzE2MAIAAAAENDA0NwQAAAABMAcAAAAIMi81LzIwMjYIAAAACTkvMzAvMjAyNQkAAAABME7AD0jCZN4IuF7JYMJk3ggaQ0lRLklRMjY1NjUuSVFfTklfRVNULjEwMDEBAAAAxWcAAAIAAAAJMzg5LjkxOTQ0AQ4AAAAFAAAAATMBAAAAATACAAAACjEwMDIzMTc5NTcDAAAABjEwMDI1MAQAAAABMgYAAAABMAcAAAADMTYwCAAAAAEwCQAAAAExCgAAAAEwCwAAAAsxNDYyOTk3</t>
  </si>
  <si>
    <t>NDE4NwwAAAABMQ0AAAAIMi82LzIwMjYQAAAACjEyLzMxLzIwMjVOwA9IwmTeCKUzyWDCZN4IH0NJUS5JUTI2NTY1LklRX1JFVkVOVUVfRVNULjEwMDEBAAAAxWcAAAIAAAAKNTk5NC43NDY2NAEOAAAABQAAAAEzAQAAAAEwAgAAAAoxMDAyMzE3OTU3AwAAAAYxMDAxODAEAAAAATIGAAAAATAHAAAAAzE2MAgAAAABMAkAAAABMQoAAAABMAsAAAALMTQ2Mjk5NzQ4MDEMAAAAATENAAAACDIvNi8yMDI2EAAAAAoxMi8zMS8yMDI1TsAPSMJk3gi4XslgwmTeCB5DSVEuSVEyNjU2NS5JUV9FQklUREFfRVNULjEwMDEBAAAAxWcAAAIAAAAKMTE2NC45NTI4NwEOAAAABQAAAAEzAQAAAAEwAgAAAAoxMDAyMzE3OTU3AwAAAAYxMDAxODcEAAAAATIGAAAAATAHAAAAAzE2MAgAAAABMAkAAAABMQoAAAABMAsAAAALMTQ2Mjk5NzQ2OTMMAAAAATENAAAACDIvNi8yMDI2EAAAAAoxMi8zMS8yMDI1TsAPSMJk3gi4XslgwmTeCBtDSVEuSVEyNjU2NS5JUV9FUFNfRVNULjEwMDEBAAAAxWcAAAIAAAAHNy4yNTI0OAEOAAAABQAAAAEzAQAAAAcyNjAwOTM4AgAAAAoxMDAyMzE3OTU3AwAAAAYxMDAxNzMEAAAAATIGAAAAATAHAAAAAzE2MAgAAAABMAkAAAABMQoAAAABMAsAAAALMTQ2MzAwMzk0NTEMAAAAATENAAAACDIvNi8yMDI2EAAAAAoxMi8zMS8yMDI1TsAPSMJk3gilM8lgwmTeCA==</t>
  </si>
  <si>
    <t xml:space="preserve">Enterprise Value / </t>
  </si>
  <si>
    <t xml:space="preserve">Market </t>
  </si>
  <si>
    <t>Enterprise</t>
  </si>
  <si>
    <t>Sales</t>
  </si>
  <si>
    <t>Profit Margin</t>
  </si>
  <si>
    <t>Price / Earnings</t>
  </si>
  <si>
    <t>Cap</t>
  </si>
  <si>
    <t>LTM</t>
  </si>
  <si>
    <t>LOW</t>
  </si>
  <si>
    <t>Waste Management, Inc.</t>
  </si>
  <si>
    <t>WM</t>
  </si>
  <si>
    <t>RTX</t>
  </si>
  <si>
    <t>MMM</t>
  </si>
  <si>
    <t>Waste Connections, Inc.</t>
  </si>
  <si>
    <t>WCN</t>
  </si>
  <si>
    <t>BA</t>
  </si>
  <si>
    <t>NM</t>
  </si>
  <si>
    <t>GE</t>
  </si>
  <si>
    <t>GFL Environmental Inc.</t>
  </si>
  <si>
    <t>GFL</t>
  </si>
  <si>
    <t>HII</t>
  </si>
  <si>
    <t>HON</t>
  </si>
  <si>
    <t>Casella Waste Systems, Inc.</t>
  </si>
  <si>
    <t>CWST</t>
  </si>
  <si>
    <t>LMT</t>
  </si>
  <si>
    <t>ROP</t>
  </si>
  <si>
    <t>Clean Harbors, Inc.</t>
  </si>
  <si>
    <t>CLH</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</si>
  <si>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</si>
  <si>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</si>
  <si>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</si>
  <si>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</si>
  <si>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</si>
  <si>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</si>
  <si>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</si>
  <si>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</si>
  <si>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</si>
  <si>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</si>
  <si>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</si>
  <si>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</si>
  <si>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</si>
  <si>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</si>
  <si>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</si>
  <si>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</si>
  <si>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</si>
  <si>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</si>
  <si>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</si>
  <si>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</si>
  <si>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</si>
  <si>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</si>
  <si>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</si>
  <si>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</si>
  <si>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</si>
  <si>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</si>
  <si>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</si>
  <si>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A-</t>
  </si>
  <si>
    <t>Stable</t>
  </si>
  <si>
    <t>BBB+</t>
  </si>
  <si>
    <t>Negative</t>
  </si>
  <si>
    <t>A+</t>
  </si>
  <si>
    <t>BBB-</t>
  </si>
  <si>
    <t>Watch Neg</t>
  </si>
  <si>
    <t>BB</t>
  </si>
  <si>
    <t>A</t>
  </si>
  <si>
    <t>BB+</t>
  </si>
  <si>
    <t>h</t>
  </si>
  <si>
    <t>Capital IQ Tables</t>
  </si>
  <si>
    <t>Comparable Companies List:</t>
  </si>
  <si>
    <t>Peer Group Names</t>
  </si>
  <si>
    <t>Target Company:</t>
  </si>
  <si>
    <t>Peer Group 1:</t>
  </si>
  <si>
    <t>Primary Peer Group</t>
  </si>
  <si>
    <t>Ticker:</t>
  </si>
  <si>
    <t>Peer Group 2:</t>
  </si>
  <si>
    <t>CIQ Code:</t>
  </si>
  <si>
    <t>IQ386225</t>
  </si>
  <si>
    <t>Peer Group 3:</t>
  </si>
  <si>
    <t>Comparable Name:</t>
  </si>
  <si>
    <t>IQ190694</t>
  </si>
  <si>
    <t>IQ384586</t>
  </si>
  <si>
    <t>IQ58576575</t>
  </si>
  <si>
    <t>IQ26175</t>
  </si>
  <si>
    <t>IQ26565</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</si>
  <si>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</si>
  <si>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</si>
  <si>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</si>
  <si>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</si>
  <si>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</si>
  <si>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</si>
  <si>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</si>
  <si>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</si>
  <si>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</si>
  <si>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</si>
  <si>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</si>
  <si>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</si>
  <si>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</si>
  <si>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</si>
  <si>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</si>
  <si>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rsg</t>
  </si>
  <si>
    <t>RS Group plc</t>
  </si>
  <si>
    <t>R&amp;S Group Holding AG</t>
  </si>
  <si>
    <t>RSG Group GmbH</t>
  </si>
  <si>
    <t>RSG International Ltd</t>
  </si>
  <si>
    <t>IQ874815</t>
  </si>
  <si>
    <t>IQ280965739</t>
  </si>
  <si>
    <t>IQ34763341</t>
  </si>
  <si>
    <t>IQ171011334</t>
  </si>
  <si>
    <t>waste management</t>
  </si>
  <si>
    <t>Waste Management Inc.</t>
  </si>
  <si>
    <t>Waste Management of Canada Corporation</t>
  </si>
  <si>
    <t>Waste Management Of Colorado, Inc.</t>
  </si>
  <si>
    <t>S&amp;P 500 Waste Management (Price Return USD) Index</t>
  </si>
  <si>
    <t>IQ7658873</t>
  </si>
  <si>
    <t>IQ13228517</t>
  </si>
  <si>
    <t>IQ4277987</t>
  </si>
  <si>
    <t>IQ649331612</t>
  </si>
  <si>
    <t>waste connections</t>
  </si>
  <si>
    <t>Waste Connections Us, Inc.</t>
  </si>
  <si>
    <t>Waste Connections of Canada Inc.</t>
  </si>
  <si>
    <t>Waste Connections Of California Inc.</t>
  </si>
  <si>
    <t>IQ378427429</t>
  </si>
  <si>
    <t>IQ1757412640</t>
  </si>
  <si>
    <t>IQ1785970053</t>
  </si>
  <si>
    <t>IQ24404463</t>
  </si>
  <si>
    <t>gfl</t>
  </si>
  <si>
    <t>GFL Environmental Services L.P.</t>
  </si>
  <si>
    <t>Gfl Srl</t>
  </si>
  <si>
    <t>GFL International Co., Ltd.</t>
  </si>
  <si>
    <t>Gfl Sa</t>
  </si>
  <si>
    <t>IQ1929174339</t>
  </si>
  <si>
    <t>IQ47576104</t>
  </si>
  <si>
    <t>IQ260602086</t>
  </si>
  <si>
    <t>IQ1868628665</t>
  </si>
  <si>
    <t>cwst</t>
  </si>
  <si>
    <t>CWS Treetops - Marietta TVL, L.P.</t>
  </si>
  <si>
    <t>CWS Treetops - Bartons TVL, L.P.</t>
  </si>
  <si>
    <t>Cw Stockwell, Inc.</t>
  </si>
  <si>
    <t>Cw Storytelling Ltd</t>
  </si>
  <si>
    <t>IQ289463909</t>
  </si>
  <si>
    <t>IQ289477602</t>
  </si>
  <si>
    <t>IQ1677945312</t>
  </si>
  <si>
    <t>IQ1756497377</t>
  </si>
  <si>
    <t>clh</t>
  </si>
  <si>
    <t>CL Holdings Inc.</t>
  </si>
  <si>
    <t>Cleopatra Hospitals Group S.A.E.</t>
  </si>
  <si>
    <t>CL Holdings LLC</t>
  </si>
  <si>
    <t>Clh Pipeline System (Clh-Ps) Ltd</t>
  </si>
  <si>
    <t>IQ8866906</t>
  </si>
  <si>
    <t>IQ306825801</t>
  </si>
  <si>
    <t>IQ238533663</t>
  </si>
  <si>
    <t>IQ304009387</t>
  </si>
  <si>
    <t>Apple</t>
  </si>
  <si>
    <t>Apple Inc.</t>
  </si>
  <si>
    <t>Applegreen Limited</t>
  </si>
  <si>
    <t>Apple Leisure Group</t>
  </si>
  <si>
    <t>IQ24937</t>
  </si>
  <si>
    <t>IQ275892751</t>
  </si>
  <si>
    <t>IQ228677668</t>
  </si>
  <si>
    <t>IQ38576368</t>
  </si>
  <si>
    <t>IQ429856801</t>
  </si>
  <si>
    <t xml:space="preserve">Oracle Corporation </t>
  </si>
  <si>
    <t>Oracle Corporation</t>
  </si>
  <si>
    <t>Oracle America, Inc.</t>
  </si>
  <si>
    <t>Oracle Financial Services Software Limited</t>
  </si>
  <si>
    <t>Oracle Healthcare</t>
  </si>
  <si>
    <t>Cerner Corporation</t>
  </si>
  <si>
    <t>IQ22247</t>
  </si>
  <si>
    <t>IQ34903</t>
  </si>
  <si>
    <t>IQ678571</t>
  </si>
  <si>
    <t>IQ429085948</t>
  </si>
  <si>
    <t>IQ259627</t>
  </si>
  <si>
    <t xml:space="preserve">Citrix Systems, Inc. </t>
  </si>
  <si>
    <t>Citrix Systems, Inc.</t>
  </si>
  <si>
    <t>Citrix Systems GmbH</t>
  </si>
  <si>
    <t>Citrix Systems International GmbH</t>
  </si>
  <si>
    <t>Citrix Systems Asia Pacific Pty. Ltd.</t>
  </si>
  <si>
    <t>Citrix Systems Korea Limited</t>
  </si>
  <si>
    <t>IQ26524</t>
  </si>
  <si>
    <t>IQ29511600</t>
  </si>
  <si>
    <t>IQ22583406</t>
  </si>
  <si>
    <t>IQ29511063</t>
  </si>
  <si>
    <t>IQ29513189</t>
  </si>
  <si>
    <t xml:space="preserve">CYREN </t>
  </si>
  <si>
    <t>Cyren Ltd.</t>
  </si>
  <si>
    <t>Changing Lives</t>
  </si>
  <si>
    <t>Cyrene</t>
  </si>
  <si>
    <t>IQ26767</t>
  </si>
  <si>
    <t>IQ182703434</t>
  </si>
  <si>
    <t>IQ698479807</t>
  </si>
  <si>
    <t>IQ1860020589</t>
  </si>
  <si>
    <t>IQ1897901862</t>
  </si>
  <si>
    <t>Commvault Systems</t>
  </si>
  <si>
    <t>Commvault Systems, Inc.</t>
  </si>
  <si>
    <t>CommVault Systems (India) Private Limited</t>
  </si>
  <si>
    <t>CommVault Systems Italia Srl</t>
  </si>
  <si>
    <t>Commvault Systems Ltd</t>
  </si>
  <si>
    <t>CommVault Systems (Canada) Inc.</t>
  </si>
  <si>
    <t>IQ26789</t>
  </si>
  <si>
    <t>IQ78887320</t>
  </si>
  <si>
    <t>IQ78888003</t>
  </si>
  <si>
    <t>IQ111712935</t>
  </si>
  <si>
    <t>IQ119046814</t>
  </si>
  <si>
    <t>eGain Corporation</t>
  </si>
  <si>
    <t>Nitman Software Pvt. Ltd.</t>
  </si>
  <si>
    <t>Ega Invest Aps</t>
  </si>
  <si>
    <t>eGain Communications Corp., Asset Management Arm</t>
  </si>
  <si>
    <t>EGA Informatica SL</t>
  </si>
  <si>
    <t>IQ27928</t>
  </si>
  <si>
    <t>IQ694918</t>
  </si>
  <si>
    <t>IQ49516031</t>
  </si>
  <si>
    <t>IQ51199915</t>
  </si>
  <si>
    <t>IQ216070262</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</si>
  <si>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</si>
  <si>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</si>
  <si>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</si>
  <si>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</si>
  <si>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</si>
  <si>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</si>
  <si>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</si>
  <si>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</si>
  <si>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</si>
  <si>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</si>
  <si>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</si>
  <si>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</si>
  <si>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</si>
  <si>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</si>
  <si>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</si>
  <si>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</si>
  <si>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</si>
  <si>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</si>
  <si>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</si>
  <si>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</si>
  <si>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</si>
  <si>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</si>
  <si>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</si>
  <si>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</si>
  <si>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</si>
  <si>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</si>
  <si>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SA (Pty) Ltd</t>
  </si>
  <si>
    <t>Inseego India Private Limited</t>
  </si>
  <si>
    <t>IQ32261</t>
  </si>
  <si>
    <t>IQ1799916204</t>
  </si>
  <si>
    <t>IQ1799920214</t>
  </si>
  <si>
    <t>IQ1897847297</t>
  </si>
  <si>
    <t>IQ1898959242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</si>
  <si>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</si>
  <si>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</si>
  <si>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</si>
  <si>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</si>
  <si>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</si>
  <si>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</si>
  <si>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</si>
  <si>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</si>
  <si>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</si>
  <si>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</si>
  <si>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</si>
  <si>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</si>
  <si>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</si>
  <si>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</si>
  <si>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</si>
  <si>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</si>
  <si>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</si>
  <si>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</si>
  <si>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</si>
  <si>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</si>
  <si>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</si>
  <si>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</si>
  <si>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</si>
  <si>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</si>
  <si>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</si>
  <si>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</si>
  <si>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</si>
  <si>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</si>
  <si>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</si>
  <si>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</si>
  <si>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</si>
  <si>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</si>
  <si>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</si>
  <si>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</si>
  <si>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</si>
  <si>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</si>
  <si>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</si>
  <si>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SAP</t>
  </si>
  <si>
    <t>Pre-Tax Cost Mid-Point</t>
  </si>
  <si>
    <t>ADBE</t>
  </si>
  <si>
    <t>Pre-Tax Cost Unit D</t>
  </si>
  <si>
    <t>INTU</t>
  </si>
  <si>
    <t>WDAY</t>
  </si>
  <si>
    <t>Debt / Total Cap Mid Point</t>
  </si>
  <si>
    <t>NOW</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</si>
  <si>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</si>
  <si>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</si>
  <si>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</si>
  <si>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</si>
  <si>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</si>
  <si>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</si>
  <si>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</si>
  <si>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</si>
  <si>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</si>
  <si>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</si>
  <si>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</si>
  <si>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</si>
  <si>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</si>
  <si>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</si>
  <si>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</si>
  <si>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</si>
  <si>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</si>
  <si>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</si>
  <si>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</si>
  <si>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</si>
  <si>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</si>
  <si>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</si>
  <si>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</si>
  <si>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</si>
  <si>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</si>
  <si>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</si>
  <si>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</si>
  <si>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</si>
  <si>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</si>
  <si>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</si>
  <si>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</si>
  <si>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</si>
  <si>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</si>
  <si>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</si>
  <si>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</si>
  <si>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</si>
  <si>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</si>
  <si>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</si>
  <si>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</si>
  <si>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</si>
  <si>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</si>
  <si>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</si>
  <si>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</si>
  <si>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</si>
  <si>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</si>
  <si>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</si>
  <si>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</si>
  <si>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</si>
  <si>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</si>
  <si>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</si>
  <si>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</si>
  <si>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</si>
  <si>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</si>
  <si>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</si>
  <si>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</si>
  <si>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</si>
  <si>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</si>
  <si>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</si>
  <si>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</si>
  <si>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</si>
  <si>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</si>
  <si>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</si>
  <si>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</si>
  <si>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</si>
  <si>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</si>
  <si>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</si>
  <si>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</si>
  <si>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</si>
  <si>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</si>
  <si>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</si>
  <si>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</si>
  <si>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</si>
  <si>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</si>
  <si>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</si>
  <si>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</si>
  <si>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</si>
  <si>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</si>
  <si>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</si>
  <si>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</si>
  <si>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</si>
  <si>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</si>
  <si>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</si>
  <si>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</si>
  <si>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</si>
  <si>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</si>
  <si>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</si>
  <si>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</si>
  <si>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</si>
  <si>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</si>
  <si>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</si>
  <si>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Multiple</t>
  </si>
  <si>
    <t>Premium to Comps</t>
  </si>
  <si>
    <t>(-) Pension Obligations</t>
  </si>
  <si>
    <t>Case</t>
  </si>
  <si>
    <t>(-) Non-Controlling Interests</t>
  </si>
  <si>
    <t>(-) Capital Leases</t>
  </si>
  <si>
    <t>Implied Market Cap</t>
  </si>
  <si>
    <t>Duration of Average</t>
  </si>
  <si>
    <t>2 Year</t>
  </si>
  <si>
    <t>Peer Averages</t>
  </si>
  <si>
    <t>Duration of Spread Averages</t>
  </si>
  <si>
    <t>1 Year</t>
  </si>
  <si>
    <t>Peer Group Used for Spreads</t>
  </si>
  <si>
    <t>3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</si>
  <si>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</si>
  <si>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</si>
  <si>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</si>
  <si>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</si>
  <si>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</si>
  <si>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</si>
  <si>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</si>
  <si>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</si>
  <si>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</si>
  <si>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</si>
  <si>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</si>
  <si>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</si>
  <si>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</si>
  <si>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2002-2008</t>
  </si>
  <si>
    <t>Cycle Period</t>
  </si>
  <si>
    <t>Late Cycle</t>
  </si>
  <si>
    <t>LTM vs NTM for Peer Groups</t>
  </si>
  <si>
    <t>Comp Multiple</t>
  </si>
  <si>
    <t>Premium/ (Discount) Applied</t>
  </si>
  <si>
    <t>Implied EV</t>
  </si>
  <si>
    <t>Sum of the Parts Valuation</t>
  </si>
  <si>
    <t>The Boeing Company</t>
  </si>
  <si>
    <t>Margins Analysis</t>
  </si>
  <si>
    <t>Adjusted EBITDA</t>
  </si>
  <si>
    <t>Profit</t>
  </si>
  <si>
    <t>2025e</t>
  </si>
  <si>
    <t>2026e</t>
  </si>
  <si>
    <t>2027e</t>
  </si>
  <si>
    <t>2028e</t>
  </si>
  <si>
    <t>2029e</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</si>
  <si>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</si>
  <si>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</si>
  <si>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</si>
  <si>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</si>
  <si>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</si>
  <si>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</si>
  <si>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</si>
  <si>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</si>
  <si>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</si>
  <si>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</si>
  <si>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</si>
  <si>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</si>
  <si>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</si>
  <si>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</si>
  <si>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</si>
  <si>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</si>
  <si>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</si>
  <si>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INSTRUCTIONS!!!</t>
  </si>
  <si>
    <t>LTM P/E</t>
  </si>
  <si>
    <t>NTM P/E</t>
  </si>
  <si>
    <t>LTM EV/EBITDA</t>
  </si>
  <si>
    <t>NTM EV/EBITDA</t>
  </si>
  <si>
    <t>Lowe's Companies, Inc.</t>
  </si>
  <si>
    <t>Historical Averages</t>
  </si>
  <si>
    <t>2Q06</t>
  </si>
  <si>
    <t>3Q06</t>
  </si>
  <si>
    <t>4Q06</t>
  </si>
  <si>
    <t>1Q07</t>
  </si>
  <si>
    <t>2Q07</t>
  </si>
  <si>
    <t>Cyclical Averages</t>
  </si>
  <si>
    <t>3Q07</t>
  </si>
  <si>
    <t>4Q07</t>
  </si>
  <si>
    <t>2002-2018 Full Cycle</t>
  </si>
  <si>
    <t>1Q08</t>
  </si>
  <si>
    <t>2002-2018 Early Cycle</t>
  </si>
  <si>
    <t>2Q08</t>
  </si>
  <si>
    <t>2002-2018 Mid Cycle</t>
  </si>
  <si>
    <t>3Q08</t>
  </si>
  <si>
    <t>2002-2018 Late Cycle</t>
  </si>
  <si>
    <t>4Q08</t>
  </si>
  <si>
    <t>2009-2018 Full Cycle</t>
  </si>
  <si>
    <t>1Q09</t>
  </si>
  <si>
    <t>2009-2018 Early Cycle</t>
  </si>
  <si>
    <t>2Q09</t>
  </si>
  <si>
    <t>2009-2018 Mid Cycle</t>
  </si>
  <si>
    <t>3Q09</t>
  </si>
  <si>
    <t>2009-2018 Late Cycle</t>
  </si>
  <si>
    <t>4Q09</t>
  </si>
  <si>
    <t>2002-2008 Full Cycle</t>
  </si>
  <si>
    <t>1Q10</t>
  </si>
  <si>
    <t>2002-2008 Early Cycle</t>
  </si>
  <si>
    <t>2Q10</t>
  </si>
  <si>
    <t>2002-2008 Mid Cycle</t>
  </si>
  <si>
    <t>3Q10</t>
  </si>
  <si>
    <t>2002-2008 Late Cycle</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</si>
  <si>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</si>
  <si>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</si>
  <si>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</si>
  <si>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</si>
  <si>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</si>
  <si>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</si>
  <si>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</si>
  <si>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</si>
  <si>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</si>
  <si>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</si>
  <si>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</si>
  <si>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</si>
  <si>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</si>
  <si>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</si>
  <si>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</si>
  <si>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</si>
  <si>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</si>
  <si>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</si>
  <si>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</si>
  <si>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</si>
  <si>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</si>
  <si>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</si>
  <si>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</si>
  <si>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3Q16</t>
  </si>
  <si>
    <t>4Q16</t>
  </si>
  <si>
    <t>1Q17</t>
  </si>
  <si>
    <t>2Q17</t>
  </si>
  <si>
    <t>3Q17</t>
  </si>
  <si>
    <t>4Q17</t>
  </si>
  <si>
    <t>1Q18</t>
  </si>
  <si>
    <t>2Q18</t>
  </si>
  <si>
    <t>3Q18</t>
  </si>
  <si>
    <t>4Q18</t>
  </si>
  <si>
    <t>2006-2022 Full Cycle</t>
  </si>
  <si>
    <t>1Q19</t>
  </si>
  <si>
    <t>2006-2022 Early Cycle</t>
  </si>
  <si>
    <t>2Q19</t>
  </si>
  <si>
    <t>2006-2022 Mid Cycle</t>
  </si>
  <si>
    <t>3Q19</t>
  </si>
  <si>
    <t>2006-2022 Late Cycle</t>
  </si>
  <si>
    <t>4Q19</t>
  </si>
  <si>
    <t>2013-2022 Full Cycle</t>
  </si>
  <si>
    <t>1Q20</t>
  </si>
  <si>
    <t>2013-2022 Early Cycle</t>
  </si>
  <si>
    <t>2Q20</t>
  </si>
  <si>
    <t>2013-2022 Mid Cycle</t>
  </si>
  <si>
    <t>3Q20</t>
  </si>
  <si>
    <t>2013-2022 Late Cycle</t>
  </si>
  <si>
    <t>4Q20</t>
  </si>
  <si>
    <t>2016-2022 Full Cycle</t>
  </si>
  <si>
    <t>1Q21</t>
  </si>
  <si>
    <t>2016-2022 Early Cycle</t>
  </si>
  <si>
    <t>2Q21</t>
  </si>
  <si>
    <t>2016-2022 Mid Cycle</t>
  </si>
  <si>
    <t>3Q21</t>
  </si>
  <si>
    <t>2016-2022 Late Cycle</t>
  </si>
  <si>
    <t>4Q21</t>
  </si>
  <si>
    <t>1Q22</t>
  </si>
  <si>
    <t>2Q22</t>
  </si>
  <si>
    <t>3Q22</t>
  </si>
  <si>
    <t>4Q22</t>
  </si>
  <si>
    <t>1Q23</t>
  </si>
  <si>
    <t>2Q23</t>
  </si>
  <si>
    <t>3Q23</t>
  </si>
  <si>
    <t>4Q23</t>
  </si>
  <si>
    <t>1Q24</t>
  </si>
  <si>
    <t>2Q24</t>
  </si>
  <si>
    <t>3Q24</t>
  </si>
  <si>
    <t>4Q24</t>
  </si>
  <si>
    <t>1Q25</t>
  </si>
  <si>
    <t>2Q25</t>
  </si>
  <si>
    <t>3Q25</t>
  </si>
  <si>
    <t>4Q'26</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</si>
  <si>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</si>
  <si>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</si>
  <si>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</si>
  <si>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</si>
  <si>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</si>
  <si>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</si>
  <si>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</si>
  <si>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</si>
  <si>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</si>
  <si>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</si>
  <si>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</si>
  <si>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</si>
  <si>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1Q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</si>
  <si>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</si>
  <si>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</si>
  <si>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</si>
  <si>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</si>
  <si>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</si>
  <si>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</si>
  <si>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</si>
  <si>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</si>
  <si>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</si>
  <si>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</si>
  <si>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</si>
  <si>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</si>
  <si>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</si>
  <si>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</si>
  <si>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</si>
  <si>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</si>
  <si>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</si>
  <si>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</si>
  <si>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</si>
  <si>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</si>
  <si>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</si>
  <si>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</si>
  <si>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</si>
  <si>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F197</t>
  </si>
  <si>
    <t>unused</t>
  </si>
  <si>
    <t/>
  </si>
  <si>
    <t>income</t>
  </si>
  <si>
    <t>not written</t>
  </si>
  <si>
    <t>high</t>
  </si>
  <si>
    <t>cleared</t>
  </si>
  <si>
    <t>Cannot find exact PP&amp;E schedule depreciation expense in EDGAR, find manually.</t>
  </si>
  <si>
    <t>G197</t>
  </si>
  <si>
    <t>H197</t>
  </si>
  <si>
    <t>I197</t>
  </si>
  <si>
    <t>F29</t>
  </si>
  <si>
    <t>direct</t>
  </si>
  <si>
    <t>CostOfGoodsAndServicesSold=2169.5mm</t>
  </si>
  <si>
    <t>0001060391-24-000205</t>
  </si>
  <si>
    <t>inverted to match model sign convention</t>
  </si>
  <si>
    <t>not_run</t>
  </si>
  <si>
    <t>Mapped to SEC cost of revenue / cost of sales.</t>
  </si>
  <si>
    <t>G29</t>
  </si>
  <si>
    <t>CostOfGoodsAndServicesSold=2224.4mm</t>
  </si>
  <si>
    <t>0001060391-24-000273</t>
  </si>
  <si>
    <t>H29</t>
  </si>
  <si>
    <t>CostOfGoodsAndServicesSold=2284.3mm</t>
  </si>
  <si>
    <t>0001060391-24-000324</t>
  </si>
  <si>
    <t>I29</t>
  </si>
  <si>
    <t>CostOfGoodsAndServicesSold=2265mm</t>
  </si>
  <si>
    <t>Mapped to SEC cost of revenue / cost of sales. Quarterly value was derived from Cost of Goods and Services Sold less 1Q23, 2Q23, 3Q23.</t>
  </si>
  <si>
    <t>K29</t>
  </si>
  <si>
    <t>CostOfGoodsAndServicesSold=2283mm</t>
  </si>
  <si>
    <t>0001060391-25-000170</t>
  </si>
  <si>
    <t>L29</t>
  </si>
  <si>
    <t>CostOfGoodsAndServicesSold=2383mm</t>
  </si>
  <si>
    <t>0001060391-25-000216</t>
  </si>
  <si>
    <t>M29</t>
  </si>
  <si>
    <t>CostOfGoodsAndServicesSold=2367mm</t>
  </si>
  <si>
    <t>0001628280-25-047655</t>
  </si>
  <si>
    <t>N29</t>
  </si>
  <si>
    <t>CostOfGoodsAndServicesSold=2317mm</t>
  </si>
  <si>
    <t>Mapped to SEC cost of revenue / cost of sales. Quarterly value was derived from Cost of Goods and Services Sold less 1Q24, 2Q24, 3Q24.</t>
  </si>
  <si>
    <t>P29</t>
  </si>
  <si>
    <t>CostOfGoodsAndServicesSold=2314mm</t>
  </si>
  <si>
    <t>0001060391-26-000212</t>
  </si>
  <si>
    <t>Q29</t>
  </si>
  <si>
    <t>CostOfGoodsAndServicesSold=2449mm</t>
  </si>
  <si>
    <t>R29</t>
  </si>
  <si>
    <t>CostOfGoodsAndServicesSold=2463mm</t>
  </si>
  <si>
    <t>S29</t>
  </si>
  <si>
    <t>4Q25</t>
  </si>
  <si>
    <t>CostOfGoodsAndServicesSold=2404mm</t>
  </si>
  <si>
    <t>Mapped to SEC cost of revenue / cost of sales. Quarterly value was derived from Cost of Goods and Services Sold less 1Q25, 2Q25, 3Q25.</t>
  </si>
  <si>
    <t>F32</t>
  </si>
  <si>
    <t>SellingGeneralAndAdministrativeExpense=379.2mm</t>
  </si>
  <si>
    <t>G32</t>
  </si>
  <si>
    <t>SellingGeneralAndAdministrativeExpense=396mm</t>
  </si>
  <si>
    <t>H32</t>
  </si>
  <si>
    <t>SellingGeneralAndAdministrativeExpense=402.1mm</t>
  </si>
  <si>
    <t>I32</t>
  </si>
  <si>
    <t>SellingGeneralAndAdministrativeExpense=431.7mm</t>
  </si>
  <si>
    <t>Quarterly value was derived from Selling, General and Administrative Expense less 1Q23, 2Q23, 3Q23.</t>
  </si>
  <si>
    <t>K32</t>
  </si>
  <si>
    <t>SellingGeneralAndAdministrativeExpense=414mm</t>
  </si>
  <si>
    <t>L32</t>
  </si>
  <si>
    <t>SellingGeneralAndAdministrativeExpense=407mm</t>
  </si>
  <si>
    <t>M32</t>
  </si>
  <si>
    <t>SellingGeneralAndAdministrativeExpense=406mm</t>
  </si>
  <si>
    <t>N32</t>
  </si>
  <si>
    <t>SellingGeneralAndAdministrativeExpense=447mm</t>
  </si>
  <si>
    <t>Quarterly value was derived from Selling, General and Administrative Expense less 1Q24, 2Q24, 3Q24.</t>
  </si>
  <si>
    <t>P32</t>
  </si>
  <si>
    <t>SellingGeneralAndAdministrativeExpense=427mm</t>
  </si>
  <si>
    <t>Q32</t>
  </si>
  <si>
    <t>SellingGeneralAndAdministrativeExpense=425mm</t>
  </si>
  <si>
    <t>R32</t>
  </si>
  <si>
    <t>SellingGeneralAndAdministrativeExpense=422mm</t>
  </si>
  <si>
    <t>S32</t>
  </si>
  <si>
    <t>SellingGeneralAndAdministrativeExpense=436mm</t>
  </si>
  <si>
    <t>Quarterly value was derived from Selling, General and Administrative Expense less 1Q25, 2Q25, 3Q25.</t>
  </si>
  <si>
    <t>F34</t>
  </si>
  <si>
    <t>DepreciationDepletionAndAmortization=358.7mm</t>
  </si>
  <si>
    <t>G34</t>
  </si>
  <si>
    <t>DepreciationDepletionAndAmortization=358.3mm</t>
  </si>
  <si>
    <t>H34</t>
  </si>
  <si>
    <t>DepreciationDepletionAndAmortization=382.3mm</t>
  </si>
  <si>
    <t>I34</t>
  </si>
  <si>
    <t>DepreciationDepletionAndAmortization=401.6mm</t>
  </si>
  <si>
    <t>Quarterly value was derived from Depreciation, Depletion and Amortization less 1Q23, 2Q23, 3Q23.</t>
  </si>
  <si>
    <t>K34</t>
  </si>
  <si>
    <t>DepreciationDepletionAndAmortization=399mm</t>
  </si>
  <si>
    <t>L34</t>
  </si>
  <si>
    <t>DepreciationDepletionAndAmortization=413mm</t>
  </si>
  <si>
    <t>M34</t>
  </si>
  <si>
    <t>DepreciationDepletionAndAmortization=422mm</t>
  </si>
  <si>
    <t>N34</t>
  </si>
  <si>
    <t>DepreciationDepletionAndAmortization=443mm</t>
  </si>
  <si>
    <t>Quarterly value was derived from Depreciation, Depletion and Amortization less 1Q24, 2Q24, 3Q24.</t>
  </si>
  <si>
    <t>P34</t>
  </si>
  <si>
    <t>DepreciationDepletionAndAmortization=434mm</t>
  </si>
  <si>
    <t>Q34</t>
  </si>
  <si>
    <t>DepreciationDepletionAndAmortization=463mm</t>
  </si>
  <si>
    <t>R34</t>
  </si>
  <si>
    <t>DepreciationDepletionAndAmortization=459mm</t>
  </si>
  <si>
    <t>S34</t>
  </si>
  <si>
    <t>DepreciationDepletionAndAmortization=458mm</t>
  </si>
  <si>
    <t>Quarterly value was derived from Depreciation, Depletion and Amortization less 1Q25, 2Q25, 3Q25.</t>
  </si>
  <si>
    <t>F35</t>
  </si>
  <si>
    <t>grouped</t>
  </si>
  <si>
    <t>copied</t>
  </si>
  <si>
    <t>Grouped from EDGAR: Cost of Goods and Services Sold. These were grouped because the model row is broader than the EDGAR operating expense detail available for this company.</t>
  </si>
  <si>
    <t>G35</t>
  </si>
  <si>
    <t>H35</t>
  </si>
  <si>
    <t>I35</t>
  </si>
  <si>
    <t>Grouped from EDGAR: Cost of Goods and Services Sold (derived Q4). These were grouped because the model row is broader than the EDGAR operating expense detail available for this company. Quarterly value was derived from Cost of Goods and Services Sold less 1Q23, 2Q23, 3Q23.</t>
  </si>
  <si>
    <t>K35</t>
  </si>
  <si>
    <t>L35</t>
  </si>
  <si>
    <t>M35</t>
  </si>
  <si>
    <t>N35</t>
  </si>
  <si>
    <t>Grouped from EDGAR: Cost of Goods and Services Sold (derived Q4). These were grouped because the model row is broader than the EDGAR operating expense detail available for this company. Quarterly value was derived from Cost of Goods and Services Sold less 1Q24, 2Q24, 3Q24.</t>
  </si>
  <si>
    <t>P35</t>
  </si>
  <si>
    <t>Q35</t>
  </si>
  <si>
    <t>R35</t>
  </si>
  <si>
    <t>S35</t>
  </si>
  <si>
    <t>Grouped from EDGAR: Cost of Goods and Services Sold (derived Q4). These were grouped because the model row is broader than the EDGAR operating expense detail available for this company. Quarterly value was derived from Cost of Goods and Services Sold less 1Q25, 2Q25, 3Q25.</t>
  </si>
  <si>
    <t>F38</t>
  </si>
  <si>
    <t>InvestmentIncomeInterest=1.4mm</t>
  </si>
  <si>
    <t>medium</t>
  </si>
  <si>
    <t>LLM-assisted EDGAR mapping: The row 'Interest Income' in the income statement section 'Other Operating Income (Expense)' matches the candidate concept 'Investment Income, Interest' which is the standard XBRL mapping for interest income earned on investments.</t>
  </si>
  <si>
    <t>G38</t>
  </si>
  <si>
    <t>InvestmentIncomeInterest=1.6mm</t>
  </si>
  <si>
    <t>H38</t>
  </si>
  <si>
    <t>InvestmentIncomeInterest=2mm</t>
  </si>
  <si>
    <t>I38</t>
  </si>
  <si>
    <t>InvestmentIncomeInterest=1mm</t>
  </si>
  <si>
    <t>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1Q23, 2Q23, 3Q23.</t>
  </si>
  <si>
    <t>K38</t>
  </si>
  <si>
    <t>L38</t>
  </si>
  <si>
    <t>M38</t>
  </si>
  <si>
    <t>InvestmentIncomeInterest=4mm</t>
  </si>
  <si>
    <t>N38</t>
  </si>
  <si>
    <t>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1Q24, 2Q24, 3Q24.</t>
  </si>
  <si>
    <t>P38</t>
  </si>
  <si>
    <t>Q38</t>
  </si>
  <si>
    <t>R38</t>
  </si>
  <si>
    <t>S38</t>
  </si>
  <si>
    <t>LLM-assisted EDGAR mapping: The row 'Interest Income' in the income statement section 'Other Operating Income (Expense)' matches the candidate concept 'Investment Income, Interest' which is the standard XBRL mapping for interest income earned on investments. Quarterly value was derived from Investment Income, Interest less 1Q25, 2Q25, 3Q25.</t>
  </si>
  <si>
    <t>F41</t>
  </si>
  <si>
    <t>OtherNonoperatingIncomeExpense=2.5mm</t>
  </si>
  <si>
    <t>G41</t>
  </si>
  <si>
    <t>OtherNonoperatingIncomeExpense=-0.6mm</t>
  </si>
  <si>
    <t>H41</t>
  </si>
  <si>
    <t>OtherNonoperatingIncomeExpense=1.3mm</t>
  </si>
  <si>
    <t>I41</t>
  </si>
  <si>
    <t>OtherNonoperatingIncomeExpense=3.8mm</t>
  </si>
  <si>
    <t>Quarterly value was derived from Other Nonoperating Income (Expense) less 1Q23, 2Q23, 3Q23.</t>
  </si>
  <si>
    <t>K41</t>
  </si>
  <si>
    <t>OtherNonoperatingIncomeExpense=13mm</t>
  </si>
  <si>
    <t>L41</t>
  </si>
  <si>
    <t>OtherNonoperatingIncomeExpense=1mm</t>
  </si>
  <si>
    <t>M41</t>
  </si>
  <si>
    <t>OtherNonoperatingIncomeExpense=10mm</t>
  </si>
  <si>
    <t>N41</t>
  </si>
  <si>
    <t>OtherNonoperatingIncomeExpense=0mm</t>
  </si>
  <si>
    <t>Quarterly value was derived from Other Nonoperating Income (Expense) less 1Q24, 2Q24, 3Q24.</t>
  </si>
  <si>
    <t>P41</t>
  </si>
  <si>
    <t>OtherNonoperatingIncomeExpense=11mm</t>
  </si>
  <si>
    <t>Q41</t>
  </si>
  <si>
    <t>OtherNonoperatingIncomeExpense=4mm</t>
  </si>
  <si>
    <t>R41</t>
  </si>
  <si>
    <t>OtherNonoperatingIncomeExpense=7mm</t>
  </si>
  <si>
    <t>S41</t>
  </si>
  <si>
    <t>OtherNonoperatingIncomeExpense=-1mm</t>
  </si>
  <si>
    <t>Quarterly value was derived from Other Nonoperating Income (Expense) less 1Q25, 2Q25, 3Q25.</t>
  </si>
  <si>
    <t>F44</t>
  </si>
  <si>
    <t>IncomeTaxExpenseBenefit=138.2mm</t>
  </si>
  <si>
    <t>Mapped to EDGAR income tax expense/benefit using the model's negative-expense sign convention.</t>
  </si>
  <si>
    <t>G44</t>
  </si>
  <si>
    <t>IncomeTaxExpenseBenefit=152.6mm</t>
  </si>
  <si>
    <t>H44</t>
  </si>
  <si>
    <t>IncomeTaxExpenseBenefit=126mm</t>
  </si>
  <si>
    <t>I44</t>
  </si>
  <si>
    <t>IncomeTaxExpenseBenefit=43.1mm</t>
  </si>
  <si>
    <t>Mapped to EDGAR income tax expense/benefit using the model's negative-expense sign convention. Quarterly value was derived from Income Tax Expense (Benefit) less 1Q23, 2Q23, 3Q23.</t>
  </si>
  <si>
    <t>K44</t>
  </si>
  <si>
    <t>IncomeTaxExpenseBenefit=145mm</t>
  </si>
  <si>
    <t>L44</t>
  </si>
  <si>
    <t>IncomeTaxExpenseBenefit=142mm</t>
  </si>
  <si>
    <t>M44</t>
  </si>
  <si>
    <t>IncomeTaxExpenseBenefit=81mm</t>
  </si>
  <si>
    <t>N44</t>
  </si>
  <si>
    <t>IncomeTaxExpenseBenefit=20mm</t>
  </si>
  <si>
    <t>Mapped to EDGAR income tax expense/benefit using the model's negative-expense sign convention. Quarterly value was derived from Income Tax Expense (Benefit) less 1Q24, 2Q24, 3Q24.</t>
  </si>
  <si>
    <t>P44</t>
  </si>
  <si>
    <t>IncomeTaxExpenseBenefit=170mm</t>
  </si>
  <si>
    <t>Q44</t>
  </si>
  <si>
    <t>R44</t>
  </si>
  <si>
    <t>IncomeTaxExpenseBenefit=95mm</t>
  </si>
  <si>
    <t>S44</t>
  </si>
  <si>
    <t>Mapped to EDGAR income tax expense/benefit using the model's negative-expense sign convention. Quarterly value was derived from Income Tax Expense (Benefit)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</si>
  <si>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</si>
  <si>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</si>
  <si>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</si>
  <si>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</si>
  <si>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</si>
  <si>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</si>
  <si>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</si>
  <si>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</si>
  <si>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</si>
  <si>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</si>
  <si>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F123</t>
  </si>
  <si>
    <t>CashAndCashEquivalentsAtCarryingValue=132.2mm</t>
  </si>
  <si>
    <t>balance</t>
  </si>
  <si>
    <t>Mapped to SEC cash and cash equivalents.</t>
  </si>
  <si>
    <t>G123</t>
  </si>
  <si>
    <t>CashAndCashEquivalentsAtCarryingValue=181.6mm</t>
  </si>
  <si>
    <t>H123</t>
  </si>
  <si>
    <t>CashAndCashEquivalentsAtCarryingValue=157.5mm</t>
  </si>
  <si>
    <t>I123</t>
  </si>
  <si>
    <t>CashAndCashEquivalentsAtCarryingValue=140mm</t>
  </si>
  <si>
    <t>0001060391-26-000094</t>
  </si>
  <si>
    <t>K123</t>
  </si>
  <si>
    <t>CashAndCashEquivalentsAtCarryingValue=92mm</t>
  </si>
  <si>
    <t>L123</t>
  </si>
  <si>
    <t>CashAndCashEquivalentsAtCarryingValue=491mm</t>
  </si>
  <si>
    <t>M123</t>
  </si>
  <si>
    <t>CashAndCashEquivalentsAtCarryingValue=83mm</t>
  </si>
  <si>
    <t>N123</t>
  </si>
  <si>
    <t>CashAndCashEquivalentsAtCarryingValue=74mm</t>
  </si>
  <si>
    <t>P123</t>
  </si>
  <si>
    <t>Q123</t>
  </si>
  <si>
    <t>CashAndCashEquivalentsAtCarryingValue=122mm</t>
  </si>
  <si>
    <t>R123</t>
  </si>
  <si>
    <t>CashAndCashEquivalentsAtCarryingValue=84mm</t>
  </si>
  <si>
    <t>S123</t>
  </si>
  <si>
    <t>CashAndCashEquivalentsAtCarryingValue=76mm</t>
  </si>
  <si>
    <t>F124</t>
  </si>
  <si>
    <t>AccountsReceivableNetCurrent=1686.4mm</t>
  </si>
  <si>
    <t>0001060391-23-000013</t>
  </si>
  <si>
    <t>Grouped from EDGAR: Accounts Receivable, after Allowance for Credit Loss, Current.</t>
  </si>
  <si>
    <t>G124</t>
  </si>
  <si>
    <t>AccountsReceivableNetCurrent=1740mm</t>
  </si>
  <si>
    <t>0001060391-23-000019</t>
  </si>
  <si>
    <t>H124</t>
  </si>
  <si>
    <t>AccountsReceivableNetCurrent=1829.7mm</t>
  </si>
  <si>
    <t>0001060391-23-000025</t>
  </si>
  <si>
    <t>I124</t>
  </si>
  <si>
    <t>AccountsReceivableNetCurrent=1768mm</t>
  </si>
  <si>
    <t>0001060391-25-000091</t>
  </si>
  <si>
    <t>K124</t>
  </si>
  <si>
    <t>AccountsReceivableNetCurrent=1763mm</t>
  </si>
  <si>
    <t>L124</t>
  </si>
  <si>
    <t>AccountsReceivableNetCurrent=1817.8mm</t>
  </si>
  <si>
    <t>M124</t>
  </si>
  <si>
    <t>AccountsReceivableNetCurrent=1847.5mm</t>
  </si>
  <si>
    <t>N124</t>
  </si>
  <si>
    <t>AccountsReceivableNetCurrent=1821mm</t>
  </si>
  <si>
    <t>P124</t>
  </si>
  <si>
    <t>AccountsReceivableNetCurrent=1854mm</t>
  </si>
  <si>
    <t>Q124</t>
  </si>
  <si>
    <t>AccountsReceivableNetCurrent=1880mm</t>
  </si>
  <si>
    <t>R124</t>
  </si>
  <si>
    <t>AccountsReceivableNetCurrent=1900mm</t>
  </si>
  <si>
    <t>S124</t>
  </si>
  <si>
    <t>AccountsReceivableNetCurrent=1897mm</t>
  </si>
  <si>
    <t>Grouped from EDGAR: Accounts Receivable net Current.</t>
  </si>
  <si>
    <t>F125</t>
  </si>
  <si>
    <t>InventoryNet=97.9mm</t>
  </si>
  <si>
    <t>G125</t>
  </si>
  <si>
    <t>InventoryNet=96.1mm</t>
  </si>
  <si>
    <t>H125</t>
  </si>
  <si>
    <t>InventoryNet=100mm</t>
  </si>
  <si>
    <t>I125</t>
  </si>
  <si>
    <t>InventoryNet=98mm</t>
  </si>
  <si>
    <t>K125</t>
  </si>
  <si>
    <t>InventoryNet=101.4mm</t>
  </si>
  <si>
    <t>L125</t>
  </si>
  <si>
    <t>InventoryNet=99.9mm</t>
  </si>
  <si>
    <t>M125</t>
  </si>
  <si>
    <t>InventoryNet=97.7mm</t>
  </si>
  <si>
    <t>N125</t>
  </si>
  <si>
    <t>P125</t>
  </si>
  <si>
    <t>InventoryNet=102mm</t>
  </si>
  <si>
    <t>Q125</t>
  </si>
  <si>
    <t>InventoryNet=104mm</t>
  </si>
  <si>
    <t>R125</t>
  </si>
  <si>
    <t>InventoryNet=103mm</t>
  </si>
  <si>
    <t>S125</t>
  </si>
  <si>
    <t>InventoryNet=106mm</t>
  </si>
  <si>
    <t>F126</t>
  </si>
  <si>
    <t>AssetsCurrent=2241.4mm; CashAndCashEquivalentsAtCarryingValue=132.2mm; AccountsReceivableNetCurrent=1686.4mm; InventoryNet=97.9mm</t>
  </si>
  <si>
    <t>0001060391-23-000013; 0001060391-24-000205</t>
  </si>
  <si>
    <t>Grouped from EDGAR: Assets, Current, Cash and Cash Equivalents, at Carrying Value, Accounts Receivable, after Allowance for Credit Loss, Current, Inventory, Net. Included current assets less separately modeled cash, receivables, and inventory.</t>
  </si>
  <si>
    <t>G126</t>
  </si>
  <si>
    <t>AssetsCurrent=2261.7mm; CashAndCashEquivalentsAtCarryingValue=181.6mm; AccountsReceivableNetCurrent=1740mm; InventoryNet=96.1mm</t>
  </si>
  <si>
    <t>0001060391-23-000019; 0001060391-24-000273</t>
  </si>
  <si>
    <t>H126</t>
  </si>
  <si>
    <t>AssetsCurrent=2348.4mm; CashAndCashEquivalentsAtCarryingValue=157.5mm; AccountsReceivableNetCurrent=1829.7mm; InventoryNet=100mm</t>
  </si>
  <si>
    <t>0001060391-23-000025; 0001060391-24-000324</t>
  </si>
  <si>
    <t>I126</t>
  </si>
  <si>
    <t>AssetsCurrent=2381mm; CashAndCashEquivalentsAtCarryingValue=140mm; AccountsReceivableNetCurrent=1768mm; InventoryNet=98mm</t>
  </si>
  <si>
    <t>0001060391-25-000091; 0001060391-26-000094</t>
  </si>
  <si>
    <t>K126</t>
  </si>
  <si>
    <t>AssetsCurrent=2273.6mm; CashAndCashEquivalentsAtCarryingValue=92mm; AccountsReceivableNetCurrent=1763mm; InventoryNet=101.4mm</t>
  </si>
  <si>
    <t>0001060391-24-000205; 0001060391-25-000170</t>
  </si>
  <si>
    <t>L126</t>
  </si>
  <si>
    <t>AssetsCurrent=2659.7mm; CashAndCashEquivalentsAtCarryingValue=491mm; AccountsReceivableNetCurrent=1817.8mm; InventoryNet=99.9mm</t>
  </si>
  <si>
    <t>0001060391-24-000273; 0001060391-25-000216</t>
  </si>
  <si>
    <t>M126</t>
  </si>
  <si>
    <t>AssetsCurrent=2348.4mm; CashAndCashEquivalentsAtCarryingValue=83mm; AccountsReceivableNetCurrent=1847.5mm; InventoryNet=97.7mm</t>
  </si>
  <si>
    <t>0001060391-24-000324; 0001628280-25-047655</t>
  </si>
  <si>
    <t>N126</t>
  </si>
  <si>
    <t>AssetsCurrent=2406mm; CashAndCashEquivalentsAtCarryingValue=74mm; AccountsReceivableNetCurrent=1821mm; InventoryNet=98mm</t>
  </si>
  <si>
    <t>Grouped from EDGAR: Assets, Current, Cash and Cash Equivalents At Carrying Value, Accounts Receivable, after Allowance for Credit Loss, Current, Inventory, Net. Included current assets less separately modeled cash, receivables, and inventory.</t>
  </si>
  <si>
    <t>P126</t>
  </si>
  <si>
    <t>AssetsCurrent=2321mm; CashAndCashEquivalentsAtCarryingValue=83mm; AccountsReceivableNetCurrent=1854mm; InventoryNet=102mm</t>
  </si>
  <si>
    <t>0001060391-25-000170; 0001060391-26-000212</t>
  </si>
  <si>
    <t>Q126</t>
  </si>
  <si>
    <t>AssetsCurrent=2416mm; CashAndCashEquivalentsAtCarryingValue=122mm; AccountsReceivableNetCurrent=1880mm; InventoryNet=104mm</t>
  </si>
  <si>
    <t>R126</t>
  </si>
  <si>
    <t>AssetsCurrent=2484mm; CashAndCashEquivalentsAtCarryingValue=84mm; AccountsReceivableNetCurrent=1900mm; InventoryNet=103mm</t>
  </si>
  <si>
    <t>S126</t>
  </si>
  <si>
    <t>AssetsCurrent=2523mm; CashAndCashEquivalentsAtCarryingValue=76mm; AccountsReceivableNetCurrent=1897mm; InventoryNet=106mm</t>
  </si>
  <si>
    <t>0001060391-26-000212; 0001060391-26-000094</t>
  </si>
  <si>
    <t>Grouped from EDGAR: Assets, Current, Cash and Cash Equivalents At Carrying Value, Accounts Receivable net Current, Inventory net. Included current assets less separately modeled cash, receivables, and inventory.</t>
  </si>
  <si>
    <t>F129</t>
  </si>
  <si>
    <t>PropertyPlantAndEquipmentAndFinanceLeaseRightOfUseAssetAfterAccumulatedDepreciationAndAmortization=10658.6mm</t>
  </si>
  <si>
    <t>Grouped from EDGAR: Property, Plant, and Equipment and Finance Lease Right-of-Use Asset, after Accumulated Depreciation and Amortization.</t>
  </si>
  <si>
    <t>G129</t>
  </si>
  <si>
    <t>PropertyPlantAndEquipmentAndFinanceLeaseRightOfUseAssetAfterAccumulatedDepreciationAndAmortization=10561.7mm</t>
  </si>
  <si>
    <t>H129</t>
  </si>
  <si>
    <t>PropertyPlantAndEquipmentAndFinanceLeaseRightOfUseAssetAfterAccumulatedDepreciationAndAmortization=10701.4mm</t>
  </si>
  <si>
    <t>I129</t>
  </si>
  <si>
    <t>PropertyPlantAndEquipmentAndFinanceLeaseRightOfUseAssetAfterAccumulatedDepreciationAndAmortization=11351mm</t>
  </si>
  <si>
    <t>K129</t>
  </si>
  <si>
    <t>PropertyPlantAndEquipmentAndFinanceLeaseRightOfUseAssetAfterAccumulatedDepreciationAndAmortization=11310.5mm</t>
  </si>
  <si>
    <t>L129</t>
  </si>
  <si>
    <t>PropertyPlantAndEquipmentAndFinanceLeaseRightOfUseAssetAfterAccumulatedDepreciationAndAmortization=11446.5mm</t>
  </si>
  <si>
    <t>M129</t>
  </si>
  <si>
    <t>PropertyPlantAndEquipmentAndFinanceLeaseRightOfUseAssetAfterAccumulatedDepreciationAndAmortization=11525.6mm</t>
  </si>
  <si>
    <t>N129</t>
  </si>
  <si>
    <t>PropertyPlantAndEquipmentAndFinanceLeaseRightOfUseAssetAfterAccumulatedDepreciationAndAmortization=11877mm</t>
  </si>
  <si>
    <t>P129</t>
  </si>
  <si>
    <t>PropertyPlantAndEquipmentAndFinanceLeaseRightOfUseAssetAfterAccumulatedDepreciationAndAmortization=11949mm</t>
  </si>
  <si>
    <t>Q129</t>
  </si>
  <si>
    <t>PropertyPlantAndEquipmentAndFinanceLeaseRightOfUseAssetAfterAccumulatedDepreciationAndAmortization=12049mm</t>
  </si>
  <si>
    <t>R129</t>
  </si>
  <si>
    <t>PropertyPlantAndEquipmentAndFinanceLeaseRightOfUseAssetAfterAccumulatedDepreciationAndAmortization=12192mm</t>
  </si>
  <si>
    <t>S129</t>
  </si>
  <si>
    <t>PropertyPlantAndEquipmentAndFinanceLeaseRightOfUseAssetAfterAccumulatedDepreciationAndAmortization=12639mm</t>
  </si>
  <si>
    <t>Grouped from EDGAR: Property Plant and Equipment and Finance Lease Right of Use Asset After Accumulated Depreciation and Amortization.</t>
  </si>
  <si>
    <t>F130</t>
  </si>
  <si>
    <t>FiniteLivedIntangibleAssetsNet=355.5mm</t>
  </si>
  <si>
    <t>Grouped from EDGAR: Finite-Lived Intangible Assets, Net.</t>
  </si>
  <si>
    <t>G130</t>
  </si>
  <si>
    <t>FiniteLivedIntangibleAssetsNet=431.5mm</t>
  </si>
  <si>
    <t>H130</t>
  </si>
  <si>
    <t>FiniteLivedIntangibleAssetsNet=447.2mm</t>
  </si>
  <si>
    <t>I130</t>
  </si>
  <si>
    <t>FiniteLivedIntangibleAssetsNet=496mm</t>
  </si>
  <si>
    <t>K130</t>
  </si>
  <si>
    <t>FiniteLivedIntangibleAssetsNet=482.6mm</t>
  </si>
  <si>
    <t>L130</t>
  </si>
  <si>
    <t>FiniteLivedIntangibleAssetsNet=463.4mm</t>
  </si>
  <si>
    <t>M130</t>
  </si>
  <si>
    <t>FiniteLivedIntangibleAssetsNet=454.8mm</t>
  </si>
  <si>
    <t>N130</t>
  </si>
  <si>
    <t>FiniteLivedIntangibleAssetsNet=546mm</t>
  </si>
  <si>
    <t>P130</t>
  </si>
  <si>
    <t>FiniteLivedIntangibleAssetsNet=632mm</t>
  </si>
  <si>
    <t>Q130</t>
  </si>
  <si>
    <t>FiniteLivedIntangibleAssetsNet=612mm</t>
  </si>
  <si>
    <t>R130</t>
  </si>
  <si>
    <t>FiniteLivedIntangibleAssetsNet=599mm</t>
  </si>
  <si>
    <t>S130</t>
  </si>
  <si>
    <t>FiniteLivedIntangibleAssetsNet=655mm</t>
  </si>
  <si>
    <t>Grouped from EDGAR: Finite Lived Intangible Assets net.</t>
  </si>
  <si>
    <t>F131</t>
  </si>
  <si>
    <t>Goodwill=14622.2mm</t>
  </si>
  <si>
    <t>G131</t>
  </si>
  <si>
    <t>Goodwill=15353.6mm</t>
  </si>
  <si>
    <t>H131</t>
  </si>
  <si>
    <t>Goodwill=15290.7mm</t>
  </si>
  <si>
    <t>I131</t>
  </si>
  <si>
    <t>Goodwill=15834mm</t>
  </si>
  <si>
    <t>K131</t>
  </si>
  <si>
    <t>Goodwill=15852.3mm</t>
  </si>
  <si>
    <t>L131</t>
  </si>
  <si>
    <t>Goodwill=15864.9mm</t>
  </si>
  <si>
    <t>M131</t>
  </si>
  <si>
    <t>Goodwill=15883.1mm</t>
  </si>
  <si>
    <t>N131</t>
  </si>
  <si>
    <t>Goodwill=15982mm</t>
  </si>
  <si>
    <t>P131</t>
  </si>
  <si>
    <t>Goodwill=16585mm</t>
  </si>
  <si>
    <t>Q131</t>
  </si>
  <si>
    <t>Goodwill=16626mm</t>
  </si>
  <si>
    <t>R131</t>
  </si>
  <si>
    <t>Goodwill=16699mm</t>
  </si>
  <si>
    <t>S131</t>
  </si>
  <si>
    <t>Goodwill=16715mm</t>
  </si>
  <si>
    <t>F132</t>
  </si>
  <si>
    <t>Assets=29081.4mm; CashAndCashEquivalentsAtCarryingValue=132.2mm; AccountsReceivableNetCurrent=1686.4mm; InventoryNet=97.9mm; AssetsCurrent=2241.4mm; CashAndCashEquivalentsAtCarryingValue=132.2mm; AccountsReceivableNetCurrent=1686.4mm; InventoryNet=97.9mm; PropertyPlantAndEquipmentAndFinanceLeaseRightOfUseAssetAfterAccumulatedDepreciationAndAmortization=10658.6mm; FiniteLivedIntangibleAssetsNet=355.5mm; Goodwill=14622.2mm</t>
  </si>
  <si>
    <t>0001060391-24-000205; 0001060391-23-000013</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</si>
  <si>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</si>
  <si>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G132</t>
  </si>
  <si>
    <t>Assets=29823.3mm; CashAndCashEquivalentsAtCarryingValue=181.6mm; AccountsReceivableNetCurrent=1740mm; InventoryNet=96.1mm; AssetsCurrent=2261.7mm; CashAndCashEquivalentsAtCarryingValue=181.6mm; AccountsReceivableNetCurrent=1740mm; InventoryNet=96.1mm; PropertyPlantAndEquipmentAndFinanceLeaseRightOfUseAssetAfterAccumulatedDepreciationAndAmortization=10561.7mm; FiniteLivedIntangibleAssetsNet=431.5mm; Goodwill=15353.6mm</t>
  </si>
  <si>
    <t>0001060391-24-000273; 0001060391-23-000019</t>
  </si>
  <si>
    <t>H132</t>
  </si>
  <si>
    <t>Assets=30042.8mm; CashAndCashEquivalentsAtCarryingValue=157.5mm; AccountsReceivableNetCurrent=1829.7mm; InventoryNet=100mm; AssetsCurrent=2348.4mm; CashAndCashEquivalentsAtCarryingValue=157.5mm; AccountsReceivableNetCurrent=1829.7mm; InventoryNet=100mm; PropertyPlantAndEquipmentAndFinanceLeaseRightOfUseAssetAfterAccumulatedDepreciationAndAmortization=10701.4mm; FiniteLivedIntangibleAssetsNet=447.2mm; Goodwill=15290.7mm</t>
  </si>
  <si>
    <t>0001060391-24-000324; 0001060391-23-000025</t>
  </si>
  <si>
    <t>I132</t>
  </si>
  <si>
    <t>Assets=31410mm; CashAndCashEquivalentsAtCarryingValue=140mm; AccountsReceivableNetCurrent=1768mm; InventoryNet=98mm; AssetsCurrent=2381mm; CashAndCashEquivalentsAtCarryingValue=140mm; AccountsReceivableNetCurrent=1768mm; InventoryNet=98mm; PropertyPlantAndEquipmentAndFinanceLeaseRightOfUseAssetAfterAccumulatedDepreciationAndAmortization=11351mm; FiniteLivedIntangibleAssetsNet=496mm; Goodwill=15834mm</t>
  </si>
  <si>
    <t>0001060391-26-000094; 0001060391-25-000091</t>
  </si>
  <si>
    <t>K132</t>
  </si>
  <si>
    <t>Assets=31382mm; CashAndCashEquivalentsAtCarryingValue=92mm; AccountsReceivableNetCurrent=1763mm; InventoryNet=101.4mm; AssetsCurrent=2273.6mm; CashAndCashEquivalentsAtCarryingValue=92mm; AccountsReceivableNetCurrent=1763mm; InventoryNet=101.4mm; PropertyPlantAndEquipmentAndFinanceLeaseRightOfUseAssetAfterAccumulatedDepreciationAndAmortization=11310.5mm; FiniteLivedIntangibleAssetsNet=482.6mm; Goodwill=15852.3mm</t>
  </si>
  <si>
    <t>0001060391-25-000170; 0001060391-24-000205</t>
  </si>
  <si>
    <t>L132</t>
  </si>
  <si>
    <t>Assets=31934mm; CashAndCashEquivalentsAtCarryingValue=491mm; AccountsReceivableNetCurrent=1817.8mm; InventoryNet=99.9mm; AssetsCurrent=2659.7mm; CashAndCashEquivalentsAtCarryingValue=491mm; AccountsReceivableNetCurrent=1817.8mm; InventoryNet=99.9mm; PropertyPlantAndEquipmentAndFinanceLeaseRightOfUseAssetAfterAccumulatedDepreciationAndAmortization=11446.5mm; FiniteLivedIntangibleAssetsNet=463.4mm; Goodwill=15864.9mm</t>
  </si>
  <si>
    <t>0001060391-25-000216; 0001060391-24-000273</t>
  </si>
  <si>
    <t>M132</t>
  </si>
  <si>
    <t>Assets=31814mm; CashAndCashEquivalentsAtCarryingValue=83mm; AccountsReceivableNetCurrent=1847.5mm; InventoryNet=97.7mm; AssetsCurrent=2348.4mm; CashAndCashEquivalentsAtCarryingValue=83mm; AccountsReceivableNetCurrent=1847.5mm; InventoryNet=97.7mm; PropertyPlantAndEquipmentAndFinanceLeaseRightOfUseAssetAfterAccumulatedDepreciationAndAmortization=11525.6mm; FiniteLivedIntangibleAssetsNet=454.8mm; Goodwill=15883.1mm</t>
  </si>
  <si>
    <t>0001628280-25-047655; 0001060391-24-000324</t>
  </si>
  <si>
    <t>N132</t>
  </si>
  <si>
    <t>Assets=32402mm; CashAndCashEquivalentsAtCarryingValue=74mm; AccountsReceivableNetCurrent=1821mm; InventoryNet=98mm; AssetsCurrent=2406mm; CashAndCashEquivalentsAtCarryingValue=74mm; AccountsReceivableNetCurrent=1821mm; InventoryNet=98mm; PropertyPlantAndEquipmentAndFinanceLeaseRightOfUseAssetAfterAccumulatedDepreciationAndAmortization=11877mm; FiniteLivedIntangibleAssetsNet=546mm; Goodwill=15982mm</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</si>
  <si>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</si>
  <si>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P132</t>
  </si>
  <si>
    <t>Assets=33103mm; CashAndCashEquivalentsAtCarryingValue=83mm; AccountsReceivableNetCurrent=1854mm; InventoryNet=102mm; AssetsCurrent=2321mm; CashAndCashEquivalentsAtCarryingValue=83mm; AccountsReceivableNetCurrent=1854mm; InventoryNet=102mm; PropertyPlantAndEquipmentAndFinanceLeaseRightOfUseAssetAfterAccumulatedDepreciationAndAmortization=11949mm; FiniteLivedIntangibleAssetsNet=632mm; Goodwill=16585mm</t>
  </si>
  <si>
    <t>0001060391-26-000212; 0001060391-25-000170</t>
  </si>
  <si>
    <t>Q132</t>
  </si>
  <si>
    <t>Assets=33397mm; CashAndCashEquivalentsAtCarryingValue=122mm; AccountsReceivableNetCurrent=1880mm; InventoryNet=104mm; AssetsCurrent=2416mm; CashAndCashEquivalentsAtCarryingValue=122mm; AccountsReceivableNetCurrent=1880mm; InventoryNet=104mm; PropertyPlantAndEquipmentAndFinanceLeaseRightOfUseAssetAfterAccumulatedDepreciationAndAmortization=12049mm; FiniteLivedIntangibleAssetsNet=612mm; Goodwill=16626mm</t>
  </si>
  <si>
    <t>R132</t>
  </si>
  <si>
    <t>Assets=33789mm; CashAndCashEquivalentsAtCarryingValue=84mm; AccountsReceivableNetCurrent=1900mm; InventoryNet=103mm; AssetsCurrent=2484mm; CashAndCashEquivalentsAtCarryingValue=84mm; AccountsReceivableNetCurrent=1900mm; InventoryNet=103mm; PropertyPlantAndEquipmentAndFinanceLeaseRightOfUseAssetAfterAccumulatedDepreciationAndAmortization=12192mm; FiniteLivedIntangibleAssetsNet=599mm; Goodwill=16699mm</t>
  </si>
  <si>
    <t>S132</t>
  </si>
  <si>
    <t>Assets=34366mm; CashAndCashEquivalentsAtCarryingValue=76mm; AccountsReceivableNetCurrent=1897mm; InventoryNet=106mm; AssetsCurrent=2523mm; CashAndCashEquivalentsAtCarryingValue=76mm; AccountsReceivableNetCurrent=1897mm; InventoryNet=106mm; PropertyPlantAndEquipmentAndFinanceLeaseRightOfUseAssetAfterAccumulatedDepreciationAndAmortization=12639mm; FiniteLivedIntangibleAssetsNet=655mm; Goodwill=16715mm</t>
  </si>
  <si>
    <t>0001060391-26-000094; 0001060391-26-000212</t>
  </si>
  <si>
    <t>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</si>
  <si>
    <t>F137</t>
  </si>
  <si>
    <t>AccountsPayableCurrent=984.2mm</t>
  </si>
  <si>
    <t>Grouped from EDGAR: Accounts Payable, Current.</t>
  </si>
  <si>
    <t>G137</t>
  </si>
  <si>
    <t>AccountsPayableCurrent=1098.4mm</t>
  </si>
  <si>
    <t>H137</t>
  </si>
  <si>
    <t>AccountsPayableCurrent=1198.2mm</t>
  </si>
  <si>
    <t>I137</t>
  </si>
  <si>
    <t>AccountsPayableCurrent=1412mm</t>
  </si>
  <si>
    <t>K137</t>
  </si>
  <si>
    <t>AccountsPayableCurrent=1179.2mm</t>
  </si>
  <si>
    <t>L137</t>
  </si>
  <si>
    <t>AccountsPayableCurrent=1285.5mm</t>
  </si>
  <si>
    <t>M137</t>
  </si>
  <si>
    <t>AccountsPayableCurrent=1225.4mm</t>
  </si>
  <si>
    <t>N137</t>
  </si>
  <si>
    <t>AccountsPayableCurrent=1345mm</t>
  </si>
  <si>
    <t>P137</t>
  </si>
  <si>
    <t>AccountsPayableCurrent=1154mm</t>
  </si>
  <si>
    <t>Q137</t>
  </si>
  <si>
    <t>AccountsPayableCurrent=1199mm</t>
  </si>
  <si>
    <t>R137</t>
  </si>
  <si>
    <t>AccountsPayableCurrent=1247mm</t>
  </si>
  <si>
    <t>S137</t>
  </si>
  <si>
    <t>AccountsPayableCurrent=1374mm</t>
  </si>
  <si>
    <t>Grouped from EDGAR: Accounts Payable Current.</t>
  </si>
  <si>
    <t>F138</t>
  </si>
  <si>
    <t>EmployeeRelatedLiabilitiesCurrent=212.2mm</t>
  </si>
  <si>
    <t>G138</t>
  </si>
  <si>
    <t>EmployeeRelatedLiabilitiesCurrent=264.8mm</t>
  </si>
  <si>
    <t>H138</t>
  </si>
  <si>
    <t>AccruedIncomeTaxesCurrent=97.9mm</t>
  </si>
  <si>
    <t>I138</t>
  </si>
  <si>
    <t>AccruedIncomeTaxesCurrent=2.1mm</t>
  </si>
  <si>
    <t>K138</t>
  </si>
  <si>
    <t>EmployeeRelatedLiabilitiesCurrent=225.5mm</t>
  </si>
  <si>
    <t>L138</t>
  </si>
  <si>
    <t>AccruedIncomeTaxesCurrent=41.8mm</t>
  </si>
  <si>
    <t>M138</t>
  </si>
  <si>
    <t>AccruedIncomeTaxesCurrent=23.2mm</t>
  </si>
  <si>
    <t>N138</t>
  </si>
  <si>
    <t>EmployeeRelatedLiabilitiesCurrent=339mm</t>
  </si>
  <si>
    <t>P138</t>
  </si>
  <si>
    <t>EmployeeRelatedLiabilitiesCurrent=252mm</t>
  </si>
  <si>
    <t>Q138</t>
  </si>
  <si>
    <t>EmployeeRelatedLiabilitiesCurrent=298mm</t>
  </si>
  <si>
    <t>R138</t>
  </si>
  <si>
    <t>EmployeeRelatedLiabilitiesCurrent=334mm</t>
  </si>
  <si>
    <t>S138</t>
  </si>
  <si>
    <t>EmployeeRelatedLiabilitiesCurrent=313mm</t>
  </si>
  <si>
    <t>F139</t>
  </si>
  <si>
    <t>ContractWithCustomerLiabilityCurrent=467.1mm</t>
  </si>
  <si>
    <t>Grouped from EDGAR: Contract with Customer, Liability, Current. Included broker-dealer current liability concepts reported in the SEC filing.</t>
  </si>
  <si>
    <t>G139</t>
  </si>
  <si>
    <t>ContractWithCustomerLiabilityCurrent=467.4mm</t>
  </si>
  <si>
    <t>H139</t>
  </si>
  <si>
    <t>ContractWithCustomerLiabilityCurrent=484.8mm</t>
  </si>
  <si>
    <t>I139</t>
  </si>
  <si>
    <t>OperatingLeaseLiability=249.7mm; ContractWithCustomerLiabilityCurrent=467mm</t>
  </si>
  <si>
    <t>0001060391-24-000142; 0001060391-25-000091</t>
  </si>
  <si>
    <t>Grouped from EDGAR: Operating Lease, Liability, Contract with Customer, Liability, Current. Included broker-dealer current liability concepts reported in the SEC filing.</t>
  </si>
  <si>
    <t>K139</t>
  </si>
  <si>
    <t>ContractWithCustomerLiabilityCurrent=472.2mm</t>
  </si>
  <si>
    <t>L139</t>
  </si>
  <si>
    <t>ContractWithCustomerLiabilityCurrent=472.5mm</t>
  </si>
  <si>
    <t>M139</t>
  </si>
  <si>
    <t>ContractWithCustomerLiabilityCurrent=485.5mm</t>
  </si>
  <si>
    <t>N139</t>
  </si>
  <si>
    <t>OperatingLeaseLiability=244mm; ContractWithCustomerLiabilityCurrent=485mm</t>
  </si>
  <si>
    <t>P139</t>
  </si>
  <si>
    <t>ContractWithCustomerLiabilityCurrent=504mm</t>
  </si>
  <si>
    <t>Q139</t>
  </si>
  <si>
    <t>ContractWithCustomerLiabilityCurrent=490mm</t>
  </si>
  <si>
    <t>R139</t>
  </si>
  <si>
    <t>S139</t>
  </si>
  <si>
    <t>OperatingLeaseLiability=225mm; ContractWithCustomerLiabilityCurrent=496mm</t>
  </si>
  <si>
    <t>Grouped from EDGAR: Operating Lease, Liability, Contract With Customer Liability Current. Included broker-dealer current liability concepts reported in the SEC filing.</t>
  </si>
  <si>
    <t>F143</t>
  </si>
  <si>
    <t>LongTermDebtAndCapitalLeaseObligationsIncludingCurrentMaturities=11924.9mm</t>
  </si>
  <si>
    <t>Grouped from EDGAR: Long-term Debt and Lease Obligation, Including Current Maturities.</t>
  </si>
  <si>
    <t>G143</t>
  </si>
  <si>
    <t>LongTermDebtAndCapitalLeaseObligationsIncludingCurrentMaturities=12113.2mm</t>
  </si>
  <si>
    <t>H143</t>
  </si>
  <si>
    <t>LongTermDebtAndCapitalLeaseObligationsIncludingCurrentMaturities=11925.1mm</t>
  </si>
  <si>
    <t>I143</t>
  </si>
  <si>
    <t>LongTermDebtAndCapitalLeaseObligationsIncludingCurrentMaturities=12819mm</t>
  </si>
  <si>
    <t>K143</t>
  </si>
  <si>
    <t>LongTermDebtAndCapitalLeaseObligationsIncludingCurrentMaturities=12832mm</t>
  </si>
  <si>
    <t>L143</t>
  </si>
  <si>
    <t>LongTermDebtAndCapitalLeaseObligationsIncludingCurrentMaturities=12959.7mm</t>
  </si>
  <si>
    <t>M143</t>
  </si>
  <si>
    <t>LongTermDebtAndCapitalLeaseObligationsIncludingCurrentMaturities=12560.4mm</t>
  </si>
  <si>
    <t>N143</t>
  </si>
  <si>
    <t>LongTermDebtAndCapitalLeaseObligationsIncludingCurrentMaturities=12713mm</t>
  </si>
  <si>
    <t>P143</t>
  </si>
  <si>
    <t>LongTermDebtAndCapitalLeaseObligationsIncludingCurrentMaturities=13283mm</t>
  </si>
  <si>
    <t>Q143</t>
  </si>
  <si>
    <t>LongTermDebtAndCapitalLeaseObligationsIncludingCurrentMaturities=12967mm</t>
  </si>
  <si>
    <t>R143</t>
  </si>
  <si>
    <t>LongTermDebtAndCapitalLeaseObligationsIncludingCurrentMaturities=13274mm</t>
  </si>
  <si>
    <t>S143</t>
  </si>
  <si>
    <t>LongTermDebtAndCapitalLeaseObligationsIncludingCurrentMaturities=13581mm</t>
  </si>
  <si>
    <t>Grouped from EDGAR: Long Term Debt and Capital Lease Obligations Including Current Maturities.</t>
  </si>
  <si>
    <t>F145</t>
  </si>
  <si>
    <t>Assets=29081.4mm; LiabilitiesCurrent=3029.3mm; LongTermDebtCurrent=0mm; LongTermDebtAndCapitalLeaseObligationsCurrent=457.1mm; LongTermDebtAndCapitalLeaseObligations=11467.8mm; LongTermDebtAndCapitalLeaseObligationsIncludingCurrentMaturities=11924.9mm; DeferredTaxLiabilitiesNoncurrent=0mm; StockholdersEquity=9916.5mm; MinorityInterest=0.8mm</t>
  </si>
  <si>
    <t>Grouped from EDGAR: Assets, Liabilities, Current, Long Term Debt Current, Long-term Debt and Lease Obligation, Current, Long-term Debt and Lease Obligation, Long-term Debt and Lease Obligation, Including Current Maturities, Deferred Tax Liabilities Noncurrent, Stockholders' Equity Attributable to Parent, Stockholders' Equity Attributable to Noncontrolling Interest. Included total assets less current liabilities, debt, deferred taxes, shareholder equity, and noncontrolling interests.</t>
  </si>
  <si>
    <t>G145</t>
  </si>
  <si>
    <t>Assets=29823.3mm; LiabilitiesCurrent=2987.9mm; LongTermDebtCurrent=0mm; LongTermDebtAndCapitalLeaseObligationsCurrent=152.8mm; LongTermDebtAndCapitalLeaseObligations=11960.4mm; LongTermDebtAndCapitalLeaseObligationsIncludingCurrentMaturities=12113.2mm; DeferredTaxLiabilitiesNoncurrent=0mm; StockholdersEquity=10203.7mm; MinorityInterest=1mm</t>
  </si>
  <si>
    <t>H145</t>
  </si>
  <si>
    <t>Assets=30042.8mm; LiabilitiesCurrent=4068.8mm; LongTermDebtCurrent=0mm; LongTermDebtAndCapitalLeaseObligationsCurrent=932.3mm; LongTermDebtAndCapitalLeaseObligations=10992.8mm; LongTermDebtAndCapitalLeaseObligationsIncludingCurrentMaturities=11925.1mm; DeferredTaxLiabilitiesNoncurrent=0mm; StockholdersEquity=10331.3mm; MinorityInterest=1.1mm</t>
  </si>
  <si>
    <t>I145</t>
  </si>
  <si>
    <t>Assets=31410mm; LiabilitiesCurrent=4228mm; LongTermDebtCurrent=0mm; LongTermDebtAndCapitalLeaseObligationsCurrent=932mm; LongTermDebtAndCapitalLeaseObligations=11887mm; LongTermDebtAndCapitalLeaseObligationsIncludingCurrentMaturities=12819mm; LongTermDebt=12819.4mm; DeferredTaxLiabilitiesNoncurrent=0mm; StockholdersEquity=10542mm; MinorityInterest=1mm</t>
  </si>
  <si>
    <t>0001060391-26-000094; 0001060391-25-000091; 0001060391-24-000142</t>
  </si>
  <si>
    <t>Grouped from EDGAR: Assets, Liabilities, Current, Long Term Debt Current, Long-term Debt and Lease Obligation, Current, Long-term Debt and Lease Obligation, Long-term Debt and Lease Obligation, Including Current Maturities, Long-term Debt, Deferred Tax Liabilities Noncurrent, Stockholders' Equity Attributable to Parent, Stockholders' Equity Attributable to Noncontrolling Interest. Included total assets less current liabilities, debt, deferred taxes, shareholder equity, and noncontrolling interests.</t>
  </si>
  <si>
    <t>K145</t>
  </si>
  <si>
    <t>Assets=31382mm; LiabilitiesCurrent=4325.9mm; LongTermDebtCurrent=0mm; LongTermDebtAndCapitalLeaseObligationsCurrent=1431.9mm; LongTermDebtAndCapitalLeaseObligations=11400.1mm; LongTermDebtAndCapitalLeaseObligationsIncludingCurrentMaturities=12832mm; DeferredTaxLiabilitiesNoncurrent=0mm; StockholdersEquity=10819.8mm; MinorityInterest=0.8mm</t>
  </si>
  <si>
    <t>L145</t>
  </si>
  <si>
    <t>Assets=31934mm; LiabilitiesCurrent=4533.6mm; LongTermDebtCurrent=0mm; LongTermDebtAndCapitalLeaseObligationsCurrent=1432.9mm; LongTermDebtAndCapitalLeaseObligations=11526.8mm; LongTermDebtAndCapitalLeaseObligationsIncludingCurrentMaturities=12959.7mm; DeferredTaxLiabilitiesNoncurrent=0mm; StockholdersEquity=11005.1mm; MinorityInterest=1.2mm</t>
  </si>
  <si>
    <t>M145</t>
  </si>
  <si>
    <t>Assets=31814mm; LiabilitiesCurrent=3641.5mm; LongTermDebtCurrent=0mm; LongTermDebtAndCapitalLeaseObligationsCurrent=513mm; LongTermDebtAndCapitalLeaseObligations=12047.4mm; LongTermDebtAndCapitalLeaseObligationsIncludingCurrentMaturities=12560.4mm; DeferredTaxLiabilitiesNoncurrent=0mm; StockholdersEquity=11228.8mm; MinorityInterest=1.4mm</t>
  </si>
  <si>
    <t>N145</t>
  </si>
  <si>
    <t>Assets=32402mm; LiabilitiesCurrent=4128mm; LongTermDebtCurrent=0mm; LongTermDebtAndCapitalLeaseObligationsCurrent=862mm; LongTermDebtAndCapitalLeaseObligations=11851mm; LongTermDebtAndCapitalLeaseObligationsIncludingCurrentMaturities=12713mm; LongTermDebt=12840mm; DeferredTaxLiabilitiesNoncurrent=0mm; StockholdersEquity=11405mm; MinorityInterest=2mm</t>
  </si>
  <si>
    <t>P145</t>
  </si>
  <si>
    <t>Assets=33103mm; LiabilitiesCurrent=3491mm; LongTermDebtCurrent=0mm; LongTermDebtAndCapitalLeaseObligationsCurrent=421mm; LongTermDebtAndCapitalLeaseObligations=12862mm; LongTermDebtAndCapitalLeaseObligationsIncludingCurrentMaturities=13283mm; DeferredTaxLiabilitiesNoncurrent=0mm; StockholdersEquity=11663mm; MinorityInterest=2mm</t>
  </si>
  <si>
    <t>Q145</t>
  </si>
  <si>
    <t>Assets=33397mm; LiabilitiesCurrent=3647mm; LongTermDebtCurrent=0mm; LongTermDebtAndCapitalLeaseObligationsCurrent=421mm; LongTermDebtAndCapitalLeaseObligations=12546mm; LongTermDebtAndCapitalLeaseObligationsIncludingCurrentMaturities=12967mm; DeferredTaxLiabilitiesNoncurrent=0mm; StockholdersEquity=12050mm; MinorityInterest=2mm</t>
  </si>
  <si>
    <t>R145</t>
  </si>
  <si>
    <t>Assets=33789mm; LiabilitiesCurrent=4263mm; LongTermDebtCurrent=0mm; LongTermDebtAndCapitalLeaseObligationsCurrent=921mm; LongTermDebtAndCapitalLeaseObligations=12353mm; LongTermDebtAndCapitalLeaseObligationsIncludingCurrentMaturities=13274mm; DeferredTaxLiabilitiesNoncurrent=0mm; StockholdersEquity=11871mm; MinorityInterest=1mm</t>
  </si>
  <si>
    <t>S145</t>
  </si>
  <si>
    <t>Assets=34366mm; LiabilitiesCurrent=3928mm; LongTermDebtCurrent=0mm; LongTermDebtAndCapitalLeaseObligationsCurrent=596mm; LongTermDebtAndCapitalLeaseObligations=12985mm; LongTermDebtAndCapitalLeaseObligationsIncludingCurrentMaturities=13581mm; LongTermDebt=13710mm; DeferredTaxLiabilitiesNoncurrent=0mm; StockholdersEquity=11968mm; MinorityInterest=1mm</t>
  </si>
  <si>
    <t>Grouped from EDGAR: Assets, Liabilities Current, Long Term Debt Current, Long Term Debt and Capital Lease Obligations Current, Long Term Debt and Capital Lease Obligations, Long Term Debt and Capital Lease Obligations Including Current Maturities, Long-term Debt, Deferred Tax Liabilities Noncurrent, Stockholders Equity, Minority Interest. Included total assets less current liabilities, debt, deferred taxes, shareholder equity, and noncontrolling interests.</t>
  </si>
  <si>
    <t>F150</t>
  </si>
  <si>
    <t>StockholdersEquity=9916.5mm; RetainedEarningsAccumulatedDeficit=7582.7mm; TreasuryStockValue=0mm; AccumulatedOtherComprehensiveIncomeLossNetOfTax=-9.3mm</t>
  </si>
  <si>
    <t>Grouped from EDGAR: Stockholders' Equity Attributable to Parent, Retained Earnings (Accumulated Deficit), Treasury Stock Value, Accumulated Other Comprehensive Income (Loss), Net of Tax. Included stockholders' equity less retained earnings, treasury stock, and AOCI.</t>
  </si>
  <si>
    <t>G150</t>
  </si>
  <si>
    <t>StockholdersEquity=10203.7mm; RetainedEarningsAccumulatedDeficit=7852.7mm; TreasuryStockValue=0mm; AccumulatedOtherComprehensiveIncomeLossNetOfTax=-6.7mm</t>
  </si>
  <si>
    <t>H150</t>
  </si>
  <si>
    <t>StockholdersEquity=10331.3mm; RetainedEarningsAccumulatedDeficit=8163.5mm; TreasuryStockValue=0mm; AccumulatedOtherComprehensiveIncomeLossNetOfTax=-2.5mm</t>
  </si>
  <si>
    <t>I150</t>
  </si>
  <si>
    <t>StockholdersEquity=10542mm; RetainedEarningsAccumulatedDeficit=8434mm; TreasuryStockValue=0mm; AccumulatedOtherComprehensiveIncomeLossNetOfTax=-12mm</t>
  </si>
  <si>
    <t>K150</t>
  </si>
  <si>
    <t>StockholdersEquity=10819.8mm; RetainedEarningsAccumulatedDeficit=8717.9mm; TreasuryStockValue=0mm; AccumulatedOtherComprehensiveIncomeLossNetOfTax=-5.3mm</t>
  </si>
  <si>
    <t>L150</t>
  </si>
  <si>
    <t>StockholdersEquity=11005.1mm; RetainedEarningsAccumulatedDeficit=9060.7mm; TreasuryStockValue=0mm; AccumulatedOtherComprehensiveIncomeLossNetOfTax=-9.1mm</t>
  </si>
  <si>
    <t>M150</t>
  </si>
  <si>
    <t>StockholdersEquity=11228.8mm; RetainedEarningsAccumulatedDeficit=9443.9mm; TreasuryStockValue=0mm; AccumulatedOtherComprehensiveIncomeLossNetOfTax=-18.6mm</t>
  </si>
  <si>
    <t>N150</t>
  </si>
  <si>
    <t>StockholdersEquity=11405mm; RetainedEarningsAccumulatedDeficit=9774mm; TreasuryStockValue=0mm; AccumulatedOtherComprehensiveIncomeLossNetOfTax=-26mm</t>
  </si>
  <si>
    <t>P150</t>
  </si>
  <si>
    <t>StockholdersEquity=11663mm; RetainedEarningsAccumulatedDeficit=10087mm; TreasuryStockValue=0mm; AccumulatedOtherComprehensiveIncomeLossNetOfTax=-31mm</t>
  </si>
  <si>
    <t>Q150</t>
  </si>
  <si>
    <t>StockholdersEquity=12050mm; RetainedEarningsAccumulatedDeficit=10455mm; TreasuryStockValue=0mm; AccumulatedOtherComprehensiveIncomeLossNetOfTax=-28mm</t>
  </si>
  <si>
    <t>R150</t>
  </si>
  <si>
    <t>StockholdersEquity=11871mm; RetainedEarningsAccumulatedDeficit=10810mm; TreasuryStockValue=0mm; AccumulatedOtherComprehensiveIncomeLossNetOfTax=-31mm</t>
  </si>
  <si>
    <t>S150</t>
  </si>
  <si>
    <t>StockholdersEquity=11968mm; RetainedEarningsAccumulatedDeficit=11161mm; TreasuryStockValue=0mm; AccumulatedOtherComprehensiveIncomeLossNetOfTax=-29mm</t>
  </si>
  <si>
    <t>Grouped from EDGAR: Stockholders Equity, Retained Earnings Accumulated Deficit, Treasury Stock Value, Accumulated Other Comprehensive income loss net of Tax. Included stockholders' equity less retained earnings, treasury stock, and AOCI.</t>
  </si>
  <si>
    <t>F151</t>
  </si>
  <si>
    <t>RetainedEarningsAccumulatedDeficit=7582.7mm</t>
  </si>
  <si>
    <t>G151</t>
  </si>
  <si>
    <t>RetainedEarningsAccumulatedDeficit=7852.7mm</t>
  </si>
  <si>
    <t>H151</t>
  </si>
  <si>
    <t>RetainedEarningsAccumulatedDeficit=8163.5mm</t>
  </si>
  <si>
    <t>I151</t>
  </si>
  <si>
    <t>RetainedEarningsAccumulatedDeficit=8434mm</t>
  </si>
  <si>
    <t>K151</t>
  </si>
  <si>
    <t>RetainedEarningsAccumulatedDeficit=8717.9mm</t>
  </si>
  <si>
    <t>L151</t>
  </si>
  <si>
    <t>RetainedEarningsAccumulatedDeficit=9060.7mm</t>
  </si>
  <si>
    <t>M151</t>
  </si>
  <si>
    <t>RetainedEarningsAccumulatedDeficit=9443.9mm</t>
  </si>
  <si>
    <t>N151</t>
  </si>
  <si>
    <t>RetainedEarningsAccumulatedDeficit=9774mm</t>
  </si>
  <si>
    <t>P151</t>
  </si>
  <si>
    <t>RetainedEarningsAccumulatedDeficit=10087mm</t>
  </si>
  <si>
    <t>Q151</t>
  </si>
  <si>
    <t>RetainedEarningsAccumulatedDeficit=10455mm</t>
  </si>
  <si>
    <t>R151</t>
  </si>
  <si>
    <t>RetainedEarningsAccumulatedDeficit=10810mm</t>
  </si>
  <si>
    <t>S151</t>
  </si>
  <si>
    <t>RetainedEarningsAccumulatedDeficit=11161mm</t>
  </si>
  <si>
    <t>F152</t>
  </si>
  <si>
    <t>TreasuryStockValue=0mm</t>
  </si>
  <si>
    <t>Grouped from EDGAR: Treasury Stock Value.</t>
  </si>
  <si>
    <t>G152</t>
  </si>
  <si>
    <t>H152</t>
  </si>
  <si>
    <t>I152</t>
  </si>
  <si>
    <t>K152</t>
  </si>
  <si>
    <t>L152</t>
  </si>
  <si>
    <t>M152</t>
  </si>
  <si>
    <t>N152</t>
  </si>
  <si>
    <t>P152</t>
  </si>
  <si>
    <t>Q152</t>
  </si>
  <si>
    <t>R152</t>
  </si>
  <si>
    <t>S152</t>
  </si>
  <si>
    <t>F153</t>
  </si>
  <si>
    <t>AccumulatedOtherComprehensiveIncomeLossNetOfTax=-9.3mm</t>
  </si>
  <si>
    <t>G153</t>
  </si>
  <si>
    <t>AccumulatedOtherComprehensiveIncomeLossNetOfTax=-6.7mm</t>
  </si>
  <si>
    <t>H153</t>
  </si>
  <si>
    <t>AccumulatedOtherComprehensiveIncomeLossNetOfTax=-2.5mm</t>
  </si>
  <si>
    <t>I153</t>
  </si>
  <si>
    <t>AccumulatedOtherComprehensiveIncomeLossNetOfTax=-12mm</t>
  </si>
  <si>
    <t>K153</t>
  </si>
  <si>
    <t>AccumulatedOtherComprehensiveIncomeLossNetOfTax=-5.3mm</t>
  </si>
  <si>
    <t>L153</t>
  </si>
  <si>
    <t>AccumulatedOtherComprehensiveIncomeLossNetOfTax=-9.1mm</t>
  </si>
  <si>
    <t>M153</t>
  </si>
  <si>
    <t>AccumulatedOtherComprehensiveIncomeLossNetOfTax=-18.6mm</t>
  </si>
  <si>
    <t>N153</t>
  </si>
  <si>
    <t>AccumulatedOtherComprehensiveIncomeLossNetOfTax=-26mm</t>
  </si>
  <si>
    <t>P153</t>
  </si>
  <si>
    <t>AccumulatedOtherComprehensiveIncomeLossNetOfTax=-31mm</t>
  </si>
  <si>
    <t>Q153</t>
  </si>
  <si>
    <t>AccumulatedOtherComprehensiveIncomeLossNetOfTax=-28mm</t>
  </si>
  <si>
    <t>R153</t>
  </si>
  <si>
    <t>S153</t>
  </si>
  <si>
    <t>AccumulatedOtherComprehensiveIncomeLossNetOfTax=-29mm</t>
  </si>
  <si>
    <t>F156</t>
  </si>
  <si>
    <t>MinorityInterest=0.8mm</t>
  </si>
  <si>
    <t>G156</t>
  </si>
  <si>
    <t>MinorityInterest=1mm</t>
  </si>
  <si>
    <t>H156</t>
  </si>
  <si>
    <t>MinorityInterest=1.1mm</t>
  </si>
  <si>
    <t>I156</t>
  </si>
  <si>
    <t>K156</t>
  </si>
  <si>
    <t>L156</t>
  </si>
  <si>
    <t>MinorityInterest=1.2mm</t>
  </si>
  <si>
    <t>M156</t>
  </si>
  <si>
    <t>MinorityInterest=1.4mm</t>
  </si>
  <si>
    <t>N156</t>
  </si>
  <si>
    <t>MinorityInterest=2mm</t>
  </si>
  <si>
    <t>P156</t>
  </si>
  <si>
    <t>Q156</t>
  </si>
  <si>
    <t>R156</t>
  </si>
  <si>
    <t>S156</t>
  </si>
  <si>
    <t>F211</t>
  </si>
  <si>
    <t>AmortizationOfIntangibleAssets=15.1mm</t>
  </si>
  <si>
    <t>support</t>
  </si>
  <si>
    <t>G211</t>
  </si>
  <si>
    <t>AmortizationOfIntangibleAssets=15mm</t>
  </si>
  <si>
    <t>Quarterly value was derived from Amortization of Intangible Assets less 1Q23.</t>
  </si>
  <si>
    <t>H211</t>
  </si>
  <si>
    <t>AmortizationOfIntangibleAssets=17.3mm</t>
  </si>
  <si>
    <t>Quarterly value was derived from Amortization of Intangible Assets less 1Q23, 2Q23.</t>
  </si>
  <si>
    <t>I211</t>
  </si>
  <si>
    <t>AmortizationOfIntangibleAssets=18.6mm</t>
  </si>
  <si>
    <t>Quarterly value was derived from Amortization of Intangible Assets less 1Q23, 2Q23, 3Q23.</t>
  </si>
  <si>
    <t>K211</t>
  </si>
  <si>
    <t>AmortizationOfIntangibleAssets=17.8mm</t>
  </si>
  <si>
    <t>L211</t>
  </si>
  <si>
    <t>AmortizationOfIntangibleAssets=18.7mm</t>
  </si>
  <si>
    <t>Quarterly value was derived from Amortization of Intangible Assets less 1Q24.</t>
  </si>
  <si>
    <t>M211</t>
  </si>
  <si>
    <t>Quarterly value was derived from Amortization of Intangible Assets less 1Q24, 2Q24.</t>
  </si>
  <si>
    <t>N211</t>
  </si>
  <si>
    <t>AmortizationOfIntangibleAssets=24.7mm</t>
  </si>
  <si>
    <t>Quarterly value was derived from Amortization of Intangible Assets less 1Q24, 2Q24, 3Q24.</t>
  </si>
  <si>
    <t>P211</t>
  </si>
  <si>
    <t>AmortizationOfIntangibleAssets=21mm</t>
  </si>
  <si>
    <t>Q211</t>
  </si>
  <si>
    <t>AmortizationOfIntangibleAssets=22mm</t>
  </si>
  <si>
    <t>Quarterly value was derived from Amortization of Intangible Assets less 1Q25.</t>
  </si>
  <si>
    <t>R211</t>
  </si>
  <si>
    <t>Quarterly value was derived from Amortization of Intangible Assets less 1Q25, 2Q25.</t>
  </si>
  <si>
    <t>S211</t>
  </si>
  <si>
    <t>AmortizationOfIntangibleAssets=24mm</t>
  </si>
  <si>
    <t>Quarterly value was derived from Amortization of Intangible Assets less 1Q25, 2Q25, 3Q25.</t>
  </si>
  <si>
    <t>F244</t>
  </si>
  <si>
    <t>PaymentsForRepurchaseOfCommonStock=0mm</t>
  </si>
  <si>
    <t>Mapped to EDGAR common stock repurchases; sign follows the model row context.</t>
  </si>
  <si>
    <t>G244</t>
  </si>
  <si>
    <t>Mapped to EDGAR common stock repurchases; sign follows the model row context. Quarterly value was derived from Payments for Repurchase of Common Stock less 1Q23.</t>
  </si>
  <si>
    <t>H244</t>
  </si>
  <si>
    <t>PaymentsForRepurchaseOfCommonStock=190.4mm</t>
  </si>
  <si>
    <t>Mapped to EDGAR common stock repurchases; sign follows the model row context. Quarterly value was derived from Payments for Repurchase of Common Stock less 1Q23, 2Q23.</t>
  </si>
  <si>
    <t>I244</t>
  </si>
  <si>
    <t>PaymentsForRepurchaseOfCommonStock=71.6mm</t>
  </si>
  <si>
    <t>Mapped to EDGAR common stock repurchases; sign follows the model row context. Quarterly value was derived from Payments for Repurchase of Common Stock less 1Q23, 2Q23, 3Q23.</t>
  </si>
  <si>
    <t>K244</t>
  </si>
  <si>
    <t>L244</t>
  </si>
  <si>
    <t>PaymentsForRepurchaseOfCommonStock=168mm</t>
  </si>
  <si>
    <t>Mapped to EDGAR common stock repurchases; sign follows the model row context. Quarterly value was derived from Payments for Repurchase of Common Stock less 1Q24.</t>
  </si>
  <si>
    <t>M244</t>
  </si>
  <si>
    <t>PaymentsForRepurchaseOfCommonStock=153mm</t>
  </si>
  <si>
    <t>Mapped to EDGAR common stock repurchases; sign follows the model row context. Quarterly value was derived from Payments for Repurchase of Common Stock less 1Q24, 2Q24.</t>
  </si>
  <si>
    <t>N244</t>
  </si>
  <si>
    <t>PaymentsForRepurchaseOfCommonStock=161mm</t>
  </si>
  <si>
    <t>Mapped to EDGAR common stock repurchases; sign follows the model row context. Quarterly value was derived from Payments for Repurchase of Common Stock less 1Q24, 2Q24, 3Q24.</t>
  </si>
  <si>
    <t>P244</t>
  </si>
  <si>
    <t>PaymentsForRepurchaseOfCommonStock=55mm</t>
  </si>
  <si>
    <t>Q244</t>
  </si>
  <si>
    <t>PaymentsForRepurchaseOfCommonStock=4mm</t>
  </si>
  <si>
    <t>Mapped to EDGAR common stock repurchases; sign follows the model row context. Quarterly value was derived from Payments for Repurchase of Common Stock less 1Q25.</t>
  </si>
  <si>
    <t>R244</t>
  </si>
  <si>
    <t>PaymentsForRepurchaseOfCommonStock=540mm</t>
  </si>
  <si>
    <t>Mapped to EDGAR common stock repurchases; sign follows the model row context. Quarterly value was derived from Payments for Repurchase of Common Stock less 1Q25, 2Q25.</t>
  </si>
  <si>
    <t>S244</t>
  </si>
  <si>
    <t>PaymentsForRepurchaseOfCommonStock=271mm</t>
  </si>
  <si>
    <t>Mapped to EDGAR common stock repurchases; sign follows the model row context. Quarterly value was derived from Payments for Repurchase of Common Stock less 1Q25, 2Q25, 3Q25.</t>
  </si>
  <si>
    <t>F249</t>
  </si>
  <si>
    <t>ShareBasedCompensation=11.6mm</t>
  </si>
  <si>
    <t>G249</t>
  </si>
  <si>
    <t>ShareBasedCompensation=9.8mm</t>
  </si>
  <si>
    <t>Quarterly value was derived from Share-based Payment Arrangement, Noncash Expense less 1Q23.</t>
  </si>
  <si>
    <t>H249</t>
  </si>
  <si>
    <t>ShareBasedCompensation=10.3mm</t>
  </si>
  <si>
    <t>Quarterly value was derived from Share-based Payment Arrangement, Noncash Expense less 1Q23, 2Q23.</t>
  </si>
  <si>
    <t>I249</t>
  </si>
  <si>
    <t>ShareBasedCompensation=9.3mm</t>
  </si>
  <si>
    <t>Quarterly value was derived from Share-based Payment Arrangement, Noncash Expense less 1Q23, 2Q23, 3Q23.</t>
  </si>
  <si>
    <t>K249</t>
  </si>
  <si>
    <t>ShareBasedCompensation=11mm</t>
  </si>
  <si>
    <t>L249</t>
  </si>
  <si>
    <t>Quarterly value was derived from Share-based Payment Arrangement, Noncash Expense less 1Q24.</t>
  </si>
  <si>
    <t>M249</t>
  </si>
  <si>
    <t>ShareBasedCompensation=9mm</t>
  </si>
  <si>
    <t>Quarterly value was derived from Share-based Payment Arrangement, Noncash Expense less 1Q24, 2Q24.</t>
  </si>
  <si>
    <t>N249</t>
  </si>
  <si>
    <t>Quarterly value was derived from Share-based Payment Arrangement, Noncash Expense less 1Q24, 2Q24, 3Q24.</t>
  </si>
  <si>
    <t>P249</t>
  </si>
  <si>
    <t>ShareBasedCompensation=13mm</t>
  </si>
  <si>
    <t>Q249</t>
  </si>
  <si>
    <t>ShareBasedCompensation=10mm</t>
  </si>
  <si>
    <t>Quarterly value was derived from Share-based Payment Arrangement, Noncash Expense less 1Q25.</t>
  </si>
  <si>
    <t>R249</t>
  </si>
  <si>
    <t>Quarterly value was derived from Share-based Payment Arrangement, Noncash Expense less 1Q25, 2Q25.</t>
  </si>
  <si>
    <t>F255</t>
  </si>
  <si>
    <t>formula</t>
  </si>
  <si>
    <t>existing formula cell</t>
  </si>
  <si>
    <t>low</t>
  </si>
  <si>
    <t>formula_preserved</t>
  </si>
  <si>
    <t>Formula preserved; EDGAR value was not written over an existing model formula.</t>
  </si>
  <si>
    <t>G255</t>
  </si>
  <si>
    <t>H255</t>
  </si>
  <si>
    <t>I255</t>
  </si>
  <si>
    <t>K255</t>
  </si>
  <si>
    <t>L255</t>
  </si>
  <si>
    <t>M255</t>
  </si>
  <si>
    <t>N255</t>
  </si>
  <si>
    <t>P255</t>
  </si>
  <si>
    <t>Q255</t>
  </si>
  <si>
    <t>R255</t>
  </si>
  <si>
    <t>S255</t>
  </si>
  <si>
    <t>F257</t>
  </si>
  <si>
    <t>PaymentsOfDividendsCommonStock=156.4mm</t>
  </si>
  <si>
    <t>G257</t>
  </si>
  <si>
    <t>PaymentsOfDividendsCommonStock=156.6mm</t>
  </si>
  <si>
    <t>Quarterly value was derived from Payments of Ordinary Dividends, Common Stock less 1Q23.</t>
  </si>
  <si>
    <t>H257</t>
  </si>
  <si>
    <t>PaymentsOfDividendsCommonStock=156.5mm</t>
  </si>
  <si>
    <t>Quarterly value was derived from Payments of Ordinary Dividends, Common Stock less 1Q23, 2Q23.</t>
  </si>
  <si>
    <t>I257</t>
  </si>
  <si>
    <t>PaymentsOfDividendsCommonStock=168.5mm</t>
  </si>
  <si>
    <t>Quarterly value was derived from Payments of Ordinary Dividends, Common Stock less 1Q23, 2Q23, 3Q23.</t>
  </si>
  <si>
    <t>K257</t>
  </si>
  <si>
    <t>PaymentsOfDividendsCommonStock=168mm</t>
  </si>
  <si>
    <t>L257</t>
  </si>
  <si>
    <t>PaymentsOfDividendsCommonStock=169mm</t>
  </si>
  <si>
    <t>Quarterly value was derived from Payments of Ordinary Dividends, Common Stock less 1Q24.</t>
  </si>
  <si>
    <t>M257</t>
  </si>
  <si>
    <t>Quarterly value was derived from Payments of Ordinary Dividends, Common Stock less 1Q24, 2Q24.</t>
  </si>
  <si>
    <t>N257</t>
  </si>
  <si>
    <t>PaymentsOfDividendsCommonStock=182mm</t>
  </si>
  <si>
    <t>Quarterly value was derived from Payments of Ordinary Dividends, Common Stock less 1Q24, 2Q24, 3Q24.</t>
  </si>
  <si>
    <t>P257</t>
  </si>
  <si>
    <t>PaymentsOfDividendsCommonStock=181mm</t>
  </si>
  <si>
    <t>Q257</t>
  </si>
  <si>
    <t>Quarterly value was derived from Payments of Ordinary Dividends, Common Stock less 1Q25.</t>
  </si>
  <si>
    <t>R257</t>
  </si>
  <si>
    <t>Quarterly value was derived from Payments of Ordinary Dividends, Common Stock less 1Q25, 2Q25.</t>
  </si>
  <si>
    <t>S257</t>
  </si>
  <si>
    <t>PaymentsOfDividendsCommonStock=194mm</t>
  </si>
  <si>
    <t>Quarterly value was derived from Payments of Ordinary Dividends, Common Stock less 1Q25, 2Q25, 3Q25.</t>
  </si>
  <si>
    <t>F262</t>
  </si>
  <si>
    <t>G262</t>
  </si>
  <si>
    <t>H262</t>
  </si>
  <si>
    <t>I262</t>
  </si>
  <si>
    <t>K262</t>
  </si>
  <si>
    <t>L262</t>
  </si>
  <si>
    <t>M262</t>
  </si>
  <si>
    <t>N262</t>
  </si>
  <si>
    <t>P262</t>
  </si>
  <si>
    <t>Q262</t>
  </si>
  <si>
    <t>R262</t>
  </si>
  <si>
    <t>S262</t>
  </si>
  <si>
    <t>F305</t>
  </si>
  <si>
    <t>G305</t>
  </si>
  <si>
    <t>H305</t>
  </si>
  <si>
    <t>I305</t>
  </si>
  <si>
    <t>K305</t>
  </si>
  <si>
    <t>L305</t>
  </si>
  <si>
    <t>M305</t>
  </si>
  <si>
    <t>N305</t>
  </si>
  <si>
    <t>P305</t>
  </si>
  <si>
    <t>Q305</t>
  </si>
  <si>
    <t>R305</t>
  </si>
  <si>
    <t>S305</t>
  </si>
  <si>
    <t>F310</t>
  </si>
  <si>
    <t>G310</t>
  </si>
  <si>
    <t>H310</t>
  </si>
  <si>
    <t>I310</t>
  </si>
  <si>
    <t>K310</t>
  </si>
  <si>
    <t>L310</t>
  </si>
  <si>
    <t>M310</t>
  </si>
  <si>
    <t>N310</t>
  </si>
  <si>
    <t>P310</t>
  </si>
  <si>
    <t>Q310</t>
  </si>
  <si>
    <t>R310</t>
  </si>
  <si>
    <t>S310</t>
  </si>
  <si>
    <t>F9</t>
  </si>
  <si>
    <t>segment</t>
  </si>
  <si>
    <t>needs_review</t>
  </si>
  <si>
    <t>Needs review: Segment Analysis row was not filled because the template label is blank, generic, or does not confidently match an EDGAR reportable segment.</t>
  </si>
  <si>
    <t>G9</t>
  </si>
  <si>
    <t>H9</t>
  </si>
  <si>
    <t>I9</t>
  </si>
  <si>
    <t>K9</t>
  </si>
  <si>
    <t>L9</t>
  </si>
  <si>
    <t>M9</t>
  </si>
  <si>
    <t>N9</t>
  </si>
  <si>
    <t>P9</t>
  </si>
  <si>
    <t>Q9</t>
  </si>
  <si>
    <t>R9</t>
  </si>
  <si>
    <t>S9</t>
  </si>
  <si>
    <t>F10</t>
  </si>
  <si>
    <t>Landfill Revenue=392.6mm</t>
  </si>
  <si>
    <t>Matched reportable segment "Landfill" from filing segment tables.</t>
  </si>
  <si>
    <t>G10</t>
  </si>
  <si>
    <t>Landfill Revenue=431mm</t>
  </si>
  <si>
    <t>H10</t>
  </si>
  <si>
    <t>Landfill Revenue=436.3mm</t>
  </si>
  <si>
    <t>I10</t>
  </si>
  <si>
    <t>Landfill Revenue=419.5mm</t>
  </si>
  <si>
    <t>K10</t>
  </si>
  <si>
    <t>Landfill Revenue=404.4mm</t>
  </si>
  <si>
    <t>L10</t>
  </si>
  <si>
    <t>Landfill Revenue=440.2mm</t>
  </si>
  <si>
    <t>M10</t>
  </si>
  <si>
    <t>Landfill Revenue=452.8mm</t>
  </si>
  <si>
    <t>N10</t>
  </si>
  <si>
    <t>Landfill Revenue=443.6mm</t>
  </si>
  <si>
    <t>P10</t>
  </si>
  <si>
    <t>Landfill Revenue=421mm</t>
  </si>
  <si>
    <t>Q10</t>
  </si>
  <si>
    <t>Landfill Revenue=516mm</t>
  </si>
  <si>
    <t>R10</t>
  </si>
  <si>
    <t>S10</t>
  </si>
  <si>
    <t>Landfill Revenue=467mm</t>
  </si>
  <si>
    <t>F11</t>
  </si>
  <si>
    <t>Environmental Solutions Revenue=408.3mm</t>
  </si>
  <si>
    <t>Matched reportable segment "Environmental Solutions" from filing segment tables.</t>
  </si>
  <si>
    <t>G11</t>
  </si>
  <si>
    <t>Environmental Solutions Revenue=398.3mm</t>
  </si>
  <si>
    <t>H11</t>
  </si>
  <si>
    <t>Environmental Solutions Revenue=404.8mm</t>
  </si>
  <si>
    <t>I11</t>
  </si>
  <si>
    <t>Environmental Solutions Revenue=413.5mm</t>
  </si>
  <si>
    <t>K11</t>
  </si>
  <si>
    <t>Environmental Solutions Revenue=423.3mm</t>
  </si>
  <si>
    <t>L11</t>
  </si>
  <si>
    <t>Environmental Solutions Revenue=472.6mm</t>
  </si>
  <si>
    <t>M11</t>
  </si>
  <si>
    <t>Environmental Solutions Revenue=464.7mm</t>
  </si>
  <si>
    <t>N11</t>
  </si>
  <si>
    <t>Environmental Solutions Revenue=482.4mm</t>
  </si>
  <si>
    <t>P11</t>
  </si>
  <si>
    <t>Environmental Solutions Revenue=449mm</t>
  </si>
  <si>
    <t>Q11</t>
  </si>
  <si>
    <t>Environmental Solutions Revenue=462mm</t>
  </si>
  <si>
    <t>R11</t>
  </si>
  <si>
    <t>Environmental Solutions Revenue=433mm</t>
  </si>
  <si>
    <t>S11</t>
  </si>
  <si>
    <t>Environmental Solutions Revenue=422mm</t>
  </si>
  <si>
    <t>F12</t>
  </si>
  <si>
    <t>Transfer Revenue=173.3mm</t>
  </si>
  <si>
    <t>Matched reportable segment "Transfer" from filing segment tables.</t>
  </si>
  <si>
    <t>G12</t>
  </si>
  <si>
    <t>Transfer Revenue=197.3mm</t>
  </si>
  <si>
    <t>H12</t>
  </si>
  <si>
    <t>Transfer Revenue=206.2mm</t>
  </si>
  <si>
    <t>I12</t>
  </si>
  <si>
    <t>Transfer Revenue=188.6mm</t>
  </si>
  <si>
    <t>K12</t>
  </si>
  <si>
    <t>Transfer Revenue=182.8mm</t>
  </si>
  <si>
    <t>L12</t>
  </si>
  <si>
    <t>Transfer Revenue=208.2mm</t>
  </si>
  <si>
    <t>M12</t>
  </si>
  <si>
    <t>Transfer Revenue=211.6mm</t>
  </si>
  <si>
    <t>N12</t>
  </si>
  <si>
    <t>Transfer Revenue=202.4mm</t>
  </si>
  <si>
    <t>P12</t>
  </si>
  <si>
    <t>Transfer Revenue=188mm</t>
  </si>
  <si>
    <t>Q12</t>
  </si>
  <si>
    <t>Transfer Revenue=221mm</t>
  </si>
  <si>
    <t>R12</t>
  </si>
  <si>
    <t>Transfer Revenue=224mm</t>
  </si>
  <si>
    <t>S12</t>
  </si>
  <si>
    <t>Transfer Revenue=215mm</t>
  </si>
  <si>
    <t>F13</t>
  </si>
  <si>
    <t>Other Revenue=148.5mm</t>
  </si>
  <si>
    <t>Matched reportable segment "Other" from filing segment tables.</t>
  </si>
  <si>
    <t>G13</t>
  </si>
  <si>
    <t>Other Revenue=156.3mm</t>
  </si>
  <si>
    <t>H13</t>
  </si>
  <si>
    <t>Other Revenue=162.1mm</t>
  </si>
  <si>
    <t>I13</t>
  </si>
  <si>
    <t>Other Revenue=175mm</t>
  </si>
  <si>
    <t>K13</t>
  </si>
  <si>
    <t>Other Revenue=188.4mm</t>
  </si>
  <si>
    <t>L13</t>
  </si>
  <si>
    <t>Other Revenue=204.2mm</t>
  </si>
  <si>
    <t>M13</t>
  </si>
  <si>
    <t>Other Revenue=205.3mm</t>
  </si>
  <si>
    <t>N13</t>
  </si>
  <si>
    <t>Other Revenue=190.1mm</t>
  </si>
  <si>
    <t>P13</t>
  </si>
  <si>
    <t>Other Revenue=208mm</t>
  </si>
  <si>
    <t>Q13</t>
  </si>
  <si>
    <t>Other Revenue=214mm</t>
  </si>
  <si>
    <t>R13</t>
  </si>
  <si>
    <t>Other Revenue=204mm</t>
  </si>
  <si>
    <t>S13</t>
  </si>
  <si>
    <t>Other Revenue=198mm</t>
  </si>
  <si>
    <t>S53</t>
  </si>
  <si>
    <t>Other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</si>
  <si>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</si>
  <si>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</si>
  <si>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</si>
  <si>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</si>
  <si>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</si>
  <si>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F39</t>
  </si>
  <si>
    <t>Other Operating Income</t>
  </si>
  <si>
    <t>OperatingIncomeLoss, IncomeLossFromContinuingOperationsBeforeIncomeTaxesExtraordinaryItemsNoncontrollingInterest</t>
  </si>
  <si>
    <t>Calculated as the residual needed for Segment Analysis Operating Income rows to tie to EDGAR consolidated operating income.</t>
  </si>
  <si>
    <t>G39</t>
  </si>
  <si>
    <t>H39</t>
  </si>
  <si>
    <t>I39</t>
  </si>
  <si>
    <t>K39</t>
  </si>
  <si>
    <t>L39</t>
  </si>
  <si>
    <t>M39</t>
  </si>
  <si>
    <t>N39</t>
  </si>
  <si>
    <t>P39</t>
  </si>
  <si>
    <t>Q39</t>
  </si>
  <si>
    <t>R39</t>
  </si>
  <si>
    <t>S39</t>
  </si>
  <si>
    <t>Calculated as the residual needed for the Income Statement EBIT formula to tie to EDGAR pre-tax operating income.</t>
  </si>
  <si>
    <t>IncomeLossFromContinuingOperationsIncludingPortionAttributableToNoncontrollingInterest, NetIncomeLoss</t>
  </si>
  <si>
    <t>Calculated as the residual needed for the model's net income formula to tie to EDGAR net income.</t>
  </si>
  <si>
    <t>Balance Sheet Check residual</t>
  </si>
  <si>
    <t>Calculated as the residual needed for the Balance Sheet Check to tie to zero using EDGAR-sourced mapped balances.</t>
  </si>
  <si>
    <t>Cannot find in EDGAR, find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</si>
</sst>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0.000_);(#,##0.000)"/>
    <numFmt numFmtId="192" formatCode="#.#;(#.#)"/>
    <numFmt numFmtId="193" formatCode="#,##0.0;(#,##0.0)"/>
    <numFmt numFmtId="194" formatCode="&quot;$&quot;#,##0.00_);(&quot;$&quot;#,##0.00);&quot;OK!&quot;"/>
    <numFmt numFmtId="195" formatCode="0.00%;(0.00%)"/>
    <numFmt numFmtId="196" formatCode="&quot;$&quot;#,##0.0"/>
    <numFmt numFmtId="197" formatCode="#,##0.0%_);(#,##0.0%);_(@_)"/>
    <numFmt numFmtId="198" formatCode="#,##0.0%_);(#,##0.0)%"/>
    <numFmt numFmtId="199" formatCode="[$-409]d-mmm"/>
    <numFmt numFmtId="200" formatCode="0.0x"/>
    <numFmt numFmtId="201" formatCode="0.00_);(0.00)"/>
    <numFmt numFmtId="202" formatCode="#,##0.0x_);(#,##0.0x_)"/>
    <numFmt numFmtId="203" formatCode="_(0.0%_);(0.0%);_(&quot;-&quot;_)_%"/>
    <numFmt numFmtId="204" formatCode="0.0"/>
    <numFmt numFmtId="205" formatCode="&quot;&quot;"/>
    <numFmt numFmtId="206" formatCode="#,##0.00%_);(#,##0.00%)"/>
    <numFmt numFmtId="207" formatCode="&quot;$&quot;#,##0"/>
    <numFmt numFmtId="208" formatCode="#,##0.00%_);(#,##0.00%_)"/>
    <numFmt numFmtId="209" formatCode="0.0 x"/>
    <numFmt numFmtId="210" formatCode="#,##0.0%_);(#,##0.0%);* &quot;-&quot;;_(@_)"/>
    <numFmt numFmtId="211" formatCode="0.00%_);(0.00%)"/>
    <numFmt numFmtId="212" formatCode="0.00000000000000_);(0.00000000000000)"/>
    <numFmt numFmtId="213" formatCode="0.000000000000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60"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0000FF"/>
      <family val="2"/>
      <sz val="10"/>
      <name val="Arial"/>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theme="1"/>
      <family val="2"/>
      <sz val="10"/>
      <name val="Arial"/>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i/>
      <family val="2"/>
      <sz val="10"/>
      <name val="Abadi"/>
    </font>
    <font>
      <u/>
      <color rgb="FFD8D8D8"/>
      <family val="2"/>
      <sz val="11"/>
      <name val="Abadi"/>
    </font>
    <font>
      <color rgb="FFD8D8D8"/>
      <family val="2"/>
      <sz val="11"/>
      <name val="Abadi"/>
    </font>
    <font>
      <family val="2"/>
      <sz val="10"/>
      <name val="Abadi"/>
    </font>
    <font>
      <b/>
      <color theme="1"/>
      <family val="2"/>
      <sz val="10"/>
      <name val="Abadi"/>
    </font>
    <font>
      <u/>
      <color theme="0"/>
      <family val="2"/>
      <sz val="11"/>
      <name val="Abadi"/>
    </font>
    <font>
      <u/>
      <color theme="0"/>
      <family val="2"/>
      <sz val="10"/>
      <name val="Abadi"/>
    </font>
    <font>
      <u/>
      <color rgb="FFFFFFFF"/>
      <family val="2"/>
      <sz val="10"/>
      <name val="Abadi"/>
    </font>
    <font>
      <u/>
      <color rgb="FF000000"/>
      <family val="2"/>
      <sz val="10"/>
      <name val="Abadi"/>
    </font>
    <font>
      <i/>
      <color theme="0"/>
      <family val="2"/>
      <sz val="10"/>
      <name val="Abadi"/>
    </font>
    <font>
      <b/>
      <color rgb="FFFFFFFF"/>
      <family val="2"/>
      <sz val="24"/>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33">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theme="6" tint="0.7999816888943144"/>
        <bgColor rgb="FFEBEBEB"/>
      </patternFill>
    </fill>
    <fill>
      <patternFill patternType="solid">
        <fgColor theme="0"/>
        <bgColor indexed="64"/>
      </patternFill>
    </fill>
    <fill>
      <patternFill patternType="solid">
        <fgColor theme="0"/>
        <bgColor rgb="FFD7D7D7"/>
      </patternFill>
    </fill>
    <fill>
      <patternFill patternType="solid">
        <fgColor theme="6" tint="0.5999938962981048"/>
        <bgColor indexed="64"/>
      </patternFill>
    </fill>
    <fill>
      <patternFill patternType="solid">
        <fgColor theme="6" tint="0.7999816888943144"/>
        <bgColor indexed="64"/>
      </patternFill>
    </fill>
    <fill>
      <patternFill patternType="solid">
        <fgColor theme="6" tint="0.7999816888943144"/>
        <bgColor rgb="FFD7D7D7"/>
      </patternFill>
    </fill>
    <fill>
      <patternFill patternType="solid">
        <fgColor theme="6" tint="0.5999938962981048"/>
        <bgColor rgb="FFD7D7D7"/>
      </patternFill>
    </fill>
    <fill>
      <patternFill patternType="solid">
        <fgColor theme="0" tint="-0.1499984740745262"/>
        <bgColor rgb="FFEBEBEB"/>
      </patternFill>
    </fill>
    <fill>
      <patternFill patternType="solid">
        <fgColor theme="0"/>
        <bgColor rgb="FFEBEBEB"/>
      </patternFill>
    </fill>
    <fill>
      <patternFill patternType="solid">
        <fgColor rgb="FFEBEBEB"/>
        <bgColor indexed="64"/>
      </patternFill>
    </fill>
    <fill>
      <patternFill patternType="solid">
        <fgColor theme="0"/>
        <bgColor rgb="FFC0DEF6"/>
      </patternFill>
    </fill>
    <fill>
      <patternFill patternType="solid">
        <fgColor rgb="FFECECEC"/>
        <bgColor rgb="FFECECEC"/>
      </patternFill>
    </fill>
    <fill>
      <patternFill patternType="solid">
        <fgColor theme="0" tint="-0.1499984740745262"/>
        <bgColor rgb="FFD8D8D8"/>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theme="0"/>
        <bgColor rgb="FFFFFF99"/>
      </patternFill>
    </fill>
    <fill>
      <patternFill patternType="solid">
        <fgColor rgb="FF002060"/>
        <bgColor rgb="FF002060"/>
      </patternFill>
    </fill>
  </fills>
  <borders count="9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right/>
      <top style="medium">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0"/>
      </left>
      <right/>
      <top/>
      <bottom/>
      <diagonal/>
    </border>
  </borders>
  <cellStyleXfs count="1">
    <xf numFmtId="0" fontId="0" fillId="0" borderId="0"/>
  </cellStyleXfs>
  <cellXfs count="97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0" fontId="16" fillId="5" borderId="1" xfId="0" applyFont="1" applyFill="1" applyBorder="1" applyAlignment="1">
      <alignment horizontal="center"/>
    </xf>
    <xf numFmtId="169" fontId="14" fillId="5" borderId="1" xfId="0" applyNumberFormat="1" applyFont="1" applyFill="1" applyBorder="1" applyAlignment="1">
      <alignment horizontal="center"/>
    </xf>
    <xf numFmtId="170" fontId="12"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0" fontId="17" fillId="0" borderId="0" xfId="0" applyFont="1" applyAlignment="1">
      <alignment horizontal="center"/>
    </xf>
    <xf numFmtId="172" fontId="8" fillId="0" borderId="0" xfId="0" applyNumberFormat="1" applyFont="1"/>
    <xf numFmtId="172" fontId="8" fillId="0" borderId="0" xfId="0" applyNumberFormat="1" applyFont="1" applyAlignment="1">
      <alignment horizontal="center"/>
    </xf>
    <xf numFmtId="172"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8" fillId="0" borderId="0" xfId="0" applyFont="1"/>
    <xf numFmtId="0" fontId="11" fillId="0" borderId="16" xfId="0" applyFont="1" applyBorder="1"/>
    <xf numFmtId="172" fontId="8" fillId="3" borderId="12" xfId="0" applyNumberFormat="1" applyFont="1" applyFill="1" applyBorder="1"/>
    <xf numFmtId="172" fontId="8" fillId="3" borderId="13" xfId="0" applyNumberFormat="1" applyFont="1" applyFill="1" applyBorder="1" applyAlignment="1">
      <alignment horizontal="center"/>
    </xf>
    <xf numFmtId="172" fontId="8" fillId="3" borderId="14" xfId="0" applyNumberFormat="1" applyFont="1" applyFill="1" applyBorder="1" applyAlignment="1">
      <alignment horizontal="center"/>
    </xf>
    <xf numFmtId="0" fontId="8" fillId="0" borderId="15" xfId="0" applyFont="1" applyBorder="1" applyAlignment="1">
      <alignment horizontal="center"/>
    </xf>
    <xf numFmtId="172" fontId="8" fillId="0" borderId="17" xfId="0" applyNumberFormat="1" applyFont="1" applyBorder="1"/>
    <xf numFmtId="172"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2" fontId="8" fillId="0" borderId="15" xfId="0" applyNumberFormat="1" applyFont="1" applyBorder="1"/>
    <xf numFmtId="4" fontId="14" fillId="0" borderId="16" xfId="0" applyNumberFormat="1" applyFont="1" applyBorder="1" applyAlignment="1">
      <alignment horizontal="center"/>
    </xf>
    <xf numFmtId="0" fontId="19" fillId="0" borderId="20" xfId="0" applyFont="1" applyBorder="1" applyAlignment="1">
      <alignment horizontal="center"/>
    </xf>
    <xf numFmtId="0" fontId="11" fillId="0" borderId="21" xfId="0" applyFont="1" applyBorder="1"/>
    <xf numFmtId="0" fontId="11" fillId="0" borderId="22" xfId="0" applyFont="1" applyBorder="1"/>
    <xf numFmtId="172" fontId="8" fillId="0" borderId="20" xfId="0" applyNumberFormat="1" applyFont="1" applyBorder="1"/>
    <xf numFmtId="172"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3"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20" fillId="2" borderId="3" xfId="0" applyFont="1" applyFill="1" applyBorder="1" applyAlignment="1">
      <alignment horizontal="center"/>
    </xf>
    <xf numFmtId="0" fontId="20" fillId="2" borderId="4" xfId="0" applyFont="1" applyFill="1" applyBorder="1" applyAlignment="1">
      <alignment horizontal="center"/>
    </xf>
    <xf numFmtId="0" fontId="21"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1" fillId="0" borderId="31" xfId="0" applyNumberFormat="1" applyFont="1" applyBorder="1" applyAlignment="1">
      <alignment horizontal="center"/>
    </xf>
    <xf numFmtId="0" fontId="21" fillId="0" borderId="0" xfId="0" applyFont="1" applyAlignment="1">
      <alignment horizontal="left"/>
    </xf>
    <xf numFmtId="167" fontId="21" fillId="0" borderId="0" xfId="0" applyNumberFormat="1" applyFont="1"/>
    <xf numFmtId="167" fontId="21" fillId="0" borderId="29" xfId="0" applyNumberFormat="1" applyFont="1" applyBorder="1"/>
    <xf numFmtId="167" fontId="21" fillId="0" borderId="30" xfId="0" applyNumberFormat="1" applyFont="1" applyBorder="1"/>
    <xf numFmtId="0" fontId="8" fillId="0" borderId="29" xfId="0" applyFont="1" applyBorder="1"/>
    <xf numFmtId="0" fontId="8" fillId="0" borderId="30" xfId="0" applyFont="1" applyBorder="1"/>
    <xf numFmtId="170" fontId="21"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0" fontId="21" fillId="0" borderId="35" xfId="0" applyNumberFormat="1" applyFont="1" applyBorder="1" applyAlignment="1">
      <alignment horizontal="center"/>
    </xf>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37" fontId="8" fillId="0" borderId="13" xfId="0" applyNumberFormat="1" applyFont="1" applyBorder="1"/>
    <xf numFmtId="174" fontId="10" fillId="0" borderId="0" xfId="0" applyNumberFormat="1" applyFont="1" applyAlignment="1">
      <alignment horizontal="center"/>
    </xf>
    <xf numFmtId="175"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6" fontId="8" fillId="0" borderId="0" xfId="0" applyNumberFormat="1" applyFont="1" applyAlignment="1">
      <alignment horizontal="right"/>
    </xf>
    <xf numFmtId="176" fontId="8" fillId="0" borderId="29" xfId="0" applyNumberFormat="1" applyFont="1" applyBorder="1" applyAlignment="1">
      <alignment horizontal="right"/>
    </xf>
    <xf numFmtId="176" fontId="8" fillId="0" borderId="30" xfId="0" applyNumberFormat="1" applyFont="1" applyBorder="1" applyAlignment="1">
      <alignment horizontal="right"/>
    </xf>
    <xf numFmtId="176" fontId="8" fillId="0" borderId="30" xfId="0" applyNumberFormat="1" applyFont="1" applyBorder="1"/>
    <xf numFmtId="176" fontId="8" fillId="0" borderId="0" xfId="0" applyNumberFormat="1" applyFont="1"/>
    <xf numFmtId="176" fontId="8" fillId="0" borderId="29" xfId="0" applyNumberFormat="1" applyFont="1" applyBorder="1"/>
    <xf numFmtId="171" fontId="8" fillId="0" borderId="0" xfId="0" applyNumberFormat="1" applyFont="1"/>
    <xf numFmtId="171" fontId="8" fillId="0" borderId="29" xfId="0" applyNumberFormat="1" applyFont="1" applyBorder="1"/>
    <xf numFmtId="171" fontId="8" fillId="0" borderId="30" xfId="0" applyNumberFormat="1" applyFont="1" applyBorder="1"/>
    <xf numFmtId="0" fontId="22" fillId="0" borderId="0" xfId="0" applyFont="1"/>
    <xf numFmtId="10" fontId="4" fillId="0" borderId="0" xfId="0" applyNumberFormat="1" applyFont="1"/>
    <xf numFmtId="0" fontId="23" fillId="0" borderId="0" xfId="0" applyFont="1"/>
    <xf numFmtId="0" fontId="4" fillId="0" borderId="0" xfId="0" applyFont="1" applyAlignment="1">
      <alignment horizontal="right"/>
    </xf>
    <xf numFmtId="0" fontId="8" fillId="0" borderId="0" xfId="0" applyFont="1" applyAlignment="1">
      <alignment horizontal="right"/>
    </xf>
    <xf numFmtId="177"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4" fillId="0" borderId="5" xfId="0" applyFont="1" applyBorder="1"/>
    <xf numFmtId="0" fontId="24"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5" fillId="0" borderId="0" xfId="0" applyNumberFormat="1" applyFont="1" applyAlignment="1">
      <alignment horizontal="right"/>
    </xf>
    <xf numFmtId="1" fontId="26" fillId="0" borderId="0" xfId="0" applyNumberFormat="1" applyFont="1" applyAlignment="1">
      <alignment horizontal="right"/>
    </xf>
    <xf numFmtId="167" fontId="21" fillId="0" borderId="28" xfId="0" applyNumberFormat="1" applyFont="1" applyBorder="1" applyAlignment="1">
      <alignment horizontal="center"/>
    </xf>
    <xf numFmtId="167" fontId="21" fillId="0" borderId="0" xfId="0" applyNumberFormat="1" applyFont="1" applyAlignment="1">
      <alignment horizontal="center"/>
    </xf>
    <xf numFmtId="0" fontId="27"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8" fontId="8" fillId="0" borderId="18" xfId="0" applyNumberFormat="1" applyFont="1" applyBorder="1" applyAlignment="1">
      <alignment horizontal="center"/>
    </xf>
    <xf numFmtId="178" fontId="8" fillId="0" borderId="0" xfId="0" applyNumberFormat="1" applyFont="1" applyAlignment="1">
      <alignment horizontal="center"/>
    </xf>
    <xf numFmtId="179" fontId="8" fillId="0" borderId="0" xfId="0" applyNumberFormat="1" applyFont="1"/>
    <xf numFmtId="173" fontId="8" fillId="0" borderId="0" xfId="0" applyNumberFormat="1" applyFont="1"/>
    <xf numFmtId="0" fontId="4" fillId="0" borderId="31" xfId="0" applyFont="1" applyBorder="1"/>
    <xf numFmtId="0" fontId="4" fillId="0" borderId="35" xfId="0" applyFont="1" applyBorder="1"/>
    <xf numFmtId="1" fontId="26" fillId="2" borderId="18" xfId="0" applyNumberFormat="1" applyFont="1" applyFill="1" applyBorder="1" applyAlignment="1">
      <alignment horizontal="right"/>
    </xf>
    <xf numFmtId="1" fontId="26" fillId="2" borderId="13" xfId="0" applyNumberFormat="1" applyFont="1" applyFill="1" applyBorder="1" applyAlignment="1">
      <alignment horizontal="right"/>
    </xf>
    <xf numFmtId="176" fontId="21" fillId="0" borderId="28" xfId="0" applyNumberFormat="1" applyFont="1" applyBorder="1" applyAlignment="1">
      <alignment horizontal="center"/>
    </xf>
    <xf numFmtId="176" fontId="21" fillId="0" borderId="31" xfId="0" applyNumberFormat="1" applyFont="1" applyBorder="1" applyAlignment="1">
      <alignment horizontal="center"/>
    </xf>
    <xf numFmtId="168" fontId="21" fillId="0" borderId="31" xfId="0" applyNumberFormat="1" applyFont="1" applyBorder="1" applyAlignment="1">
      <alignment horizontal="center"/>
    </xf>
    <xf numFmtId="37" fontId="21" fillId="0" borderId="31" xfId="0" applyNumberFormat="1" applyFont="1" applyBorder="1" applyAlignment="1">
      <alignment horizontal="center"/>
    </xf>
    <xf numFmtId="171" fontId="21" fillId="0" borderId="31" xfId="0" applyNumberFormat="1" applyFont="1" applyBorder="1" applyAlignment="1">
      <alignment horizontal="center"/>
    </xf>
    <xf numFmtId="171" fontId="21" fillId="0" borderId="35" xfId="0" applyNumberFormat="1" applyFont="1" applyBorder="1" applyAlignment="1">
      <alignment horizontal="center"/>
    </xf>
    <xf numFmtId="0" fontId="1" fillId="0" borderId="0" xfId="0" applyFont="1" applyAlignment="1">
      <alignment horizontal="center"/>
    </xf>
    <xf numFmtId="0" fontId="28"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8"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29" fillId="0" borderId="0" xfId="0" applyFont="1" applyAlignment="1">
      <alignment horizontal="left" vertical="top" wrapText="1"/>
    </xf>
    <xf numFmtId="0" fontId="29"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30" fillId="0" borderId="0" xfId="0" applyFont="1"/>
    <xf numFmtId="0" fontId="31"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2" fillId="2" borderId="1" xfId="0" applyFont="1" applyFill="1" applyBorder="1" applyAlignment="1">
      <alignment horizontal="center"/>
    </xf>
    <xf numFmtId="0" fontId="33" fillId="0" borderId="0" xfId="0" applyFont="1"/>
    <xf numFmtId="0" fontId="33" fillId="2" borderId="44" xfId="0" applyFont="1" applyFill="1" applyBorder="1"/>
    <xf numFmtId="0" fontId="33" fillId="2" borderId="18" xfId="0" applyFont="1" applyFill="1" applyBorder="1"/>
    <xf numFmtId="0" fontId="33"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2" fillId="2" borderId="13" xfId="0" applyFont="1" applyFill="1" applyBorder="1" applyAlignment="1">
      <alignment horizontal="center"/>
    </xf>
    <xf numFmtId="0" fontId="31"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1" fillId="0" borderId="5" xfId="0" applyNumberFormat="1" applyFont="1" applyBorder="1" applyAlignment="1">
      <alignment horizontal="center"/>
    </xf>
    <xf numFmtId="186" fontId="21" fillId="0" borderId="6" xfId="0" applyNumberFormat="1" applyFont="1" applyBorder="1" applyAlignment="1">
      <alignment horizontal="center"/>
    </xf>
    <xf numFmtId="0" fontId="34" fillId="0" borderId="0" xfId="0" applyFont="1" applyAlignment="1">
      <alignment horizontal="center"/>
    </xf>
    <xf numFmtId="0" fontId="35" fillId="0" borderId="0" xfId="0" applyFont="1"/>
    <xf numFmtId="0" fontId="36" fillId="0" borderId="0" xfId="0" applyFont="1" applyAlignment="1">
      <alignment horizontal="left"/>
    </xf>
    <xf numFmtId="173" fontId="37" fillId="12" borderId="0" xfId="0" applyNumberFormat="1" applyFont="1" applyFill="1" applyAlignment="1">
      <alignment horizontal="right"/>
    </xf>
    <xf numFmtId="186" fontId="37" fillId="12" borderId="0" xfId="0" applyNumberFormat="1" applyFont="1" applyFill="1" applyAlignment="1">
      <alignment horizontal="right"/>
    </xf>
    <xf numFmtId="186" fontId="37" fillId="0" borderId="0" xfId="0" applyNumberFormat="1" applyFont="1" applyAlignment="1">
      <alignment horizontal="right"/>
    </xf>
    <xf numFmtId="186" fontId="35" fillId="13" borderId="0" xfId="0" applyNumberFormat="1" applyFont="1" applyFill="1" applyAlignment="1">
      <alignment horizontal="right"/>
    </xf>
    <xf numFmtId="186" fontId="35" fillId="0" borderId="0" xfId="0" applyNumberFormat="1" applyFont="1" applyAlignment="1">
      <alignment horizontal="right"/>
    </xf>
    <xf numFmtId="0" fontId="35" fillId="0" borderId="5" xfId="0" applyFont="1" applyBorder="1" applyAlignment="1">
      <alignment horizontal="center"/>
    </xf>
    <xf numFmtId="0" fontId="35" fillId="0" borderId="6" xfId="0" applyFont="1" applyBorder="1" applyAlignment="1">
      <alignment horizontal="center"/>
    </xf>
    <xf numFmtId="0" fontId="35" fillId="0" borderId="12" xfId="0" applyFont="1" applyBorder="1" applyAlignment="1">
      <alignment horizontal="center"/>
    </xf>
    <xf numFmtId="0" fontId="35" fillId="0" borderId="14" xfId="0" applyFont="1" applyBorder="1" applyAlignment="1">
      <alignment horizontal="center"/>
    </xf>
    <xf numFmtId="0" fontId="38" fillId="0" borderId="0" xfId="0" applyFont="1" applyAlignment="1">
      <alignment horizontal="center"/>
    </xf>
    <xf numFmtId="0" fontId="21" fillId="0" borderId="0" xfId="0" applyFont="1"/>
    <xf numFmtId="173" fontId="39" fillId="12" borderId="0" xfId="0" applyNumberFormat="1" applyFont="1" applyFill="1" applyAlignment="1">
      <alignment horizontal="right"/>
    </xf>
    <xf numFmtId="186" fontId="21" fillId="13" borderId="0" xfId="0" applyNumberFormat="1" applyFont="1" applyFill="1" applyAlignment="1">
      <alignment horizontal="right"/>
    </xf>
    <xf numFmtId="186" fontId="21" fillId="0" borderId="0" xfId="0" applyNumberFormat="1" applyFont="1" applyAlignment="1">
      <alignment horizontal="right"/>
    </xf>
    <xf numFmtId="0" fontId="21" fillId="0" borderId="5" xfId="0" applyFont="1" applyBorder="1"/>
    <xf numFmtId="0" fontId="21" fillId="0" borderId="6" xfId="0" applyFont="1" applyBorder="1"/>
    <xf numFmtId="186" fontId="39" fillId="12" borderId="0" xfId="0" applyNumberFormat="1" applyFont="1" applyFill="1" applyAlignment="1">
      <alignment horizontal="right"/>
    </xf>
    <xf numFmtId="186" fontId="39" fillId="0" borderId="0" xfId="0" applyNumberFormat="1" applyFont="1" applyAlignment="1">
      <alignment horizontal="right"/>
    </xf>
    <xf numFmtId="0" fontId="21" fillId="0" borderId="12" xfId="0" applyFont="1" applyBorder="1"/>
    <xf numFmtId="0" fontId="21" fillId="0" borderId="14" xfId="0" applyFont="1" applyBorder="1"/>
    <xf numFmtId="0" fontId="32" fillId="2" borderId="3" xfId="0" applyFont="1" applyFill="1" applyBorder="1" applyAlignment="1">
      <alignment horizontal="center"/>
    </xf>
    <xf numFmtId="0" fontId="32"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1" fillId="12" borderId="0" xfId="0" applyNumberFormat="1" applyFont="1" applyFill="1" applyAlignment="1">
      <alignment horizontal="right"/>
    </xf>
    <xf numFmtId="0" fontId="8" fillId="12" borderId="0" xfId="0" applyFont="1" applyFill="1" applyAlignment="1">
      <alignment horizontal="right"/>
    </xf>
    <xf numFmtId="186" fontId="40" fillId="13" borderId="0" xfId="0" applyNumberFormat="1" applyFont="1" applyFill="1" applyAlignment="1">
      <alignment horizontal="right"/>
    </xf>
    <xf numFmtId="186" fontId="40" fillId="0" borderId="0" xfId="0" applyNumberFormat="1" applyFont="1" applyAlignment="1">
      <alignment horizontal="right"/>
    </xf>
    <xf numFmtId="0" fontId="8" fillId="13" borderId="0" xfId="0" applyFont="1" applyFill="1" applyAlignment="1">
      <alignment horizontal="right"/>
    </xf>
    <xf numFmtId="186" fontId="41" fillId="0" borderId="0" xfId="0" applyNumberFormat="1" applyFont="1" applyAlignment="1">
      <alignment horizontal="right"/>
    </xf>
    <xf numFmtId="0" fontId="21" fillId="12" borderId="0" xfId="0" applyFont="1" applyFill="1" applyAlignment="1">
      <alignment horizontal="right"/>
    </xf>
    <xf numFmtId="0" fontId="21" fillId="0" borderId="0" xfId="0" applyFont="1" applyAlignment="1">
      <alignment horizontal="right"/>
    </xf>
    <xf numFmtId="9" fontId="40" fillId="0" borderId="0" xfId="0" applyNumberFormat="1"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1" fillId="12" borderId="0" xfId="0" applyNumberFormat="1" applyFont="1" applyFill="1" applyAlignment="1">
      <alignment horizontal="right"/>
    </xf>
    <xf numFmtId="188" fontId="21" fillId="0" borderId="0" xfId="0" applyNumberFormat="1" applyFont="1" applyAlignment="1">
      <alignment horizontal="right"/>
    </xf>
    <xf numFmtId="188" fontId="40" fillId="13" borderId="0" xfId="0" applyNumberFormat="1" applyFont="1" applyFill="1" applyAlignment="1">
      <alignment horizontal="right"/>
    </xf>
    <xf numFmtId="188" fontId="40"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40" fillId="13" borderId="0" xfId="0" applyNumberFormat="1" applyFont="1" applyFill="1"/>
    <xf numFmtId="186" fontId="40"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2"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85" fontId="8" fillId="15" borderId="0" xfId="0" applyNumberFormat="1" applyFont="1" applyFill="1"/>
    <xf numFmtId="171" fontId="14" fillId="12" borderId="13" xfId="0" applyNumberFormat="1" applyFont="1" applyFill="1" applyBorder="1"/>
    <xf numFmtId="171" fontId="8" fillId="0" borderId="13" xfId="0" applyNumberFormat="1" applyFont="1" applyBorder="1"/>
    <xf numFmtId="171" fontId="8" fillId="15" borderId="13" xfId="0" applyNumberFormat="1" applyFont="1" applyFill="1" applyBorder="1"/>
    <xf numFmtId="171" fontId="8" fillId="13" borderId="13" xfId="0" applyNumberFormat="1" applyFont="1" applyFill="1" applyBorder="1"/>
    <xf numFmtId="190" fontId="8" fillId="12" borderId="0" xfId="0" applyNumberFormat="1" applyFont="1" applyFill="1"/>
    <xf numFmtId="0" fontId="8" fillId="15" borderId="0" xfId="0" applyFont="1" applyFill="1"/>
    <xf numFmtId="171" fontId="14" fillId="12" borderId="0" xfId="0" applyNumberFormat="1" applyFont="1" applyFill="1"/>
    <xf numFmtId="171" fontId="8" fillId="15" borderId="0" xfId="0" applyNumberFormat="1" applyFont="1" applyFill="1"/>
    <xf numFmtId="171" fontId="8" fillId="13" borderId="0" xfId="0" applyNumberFormat="1" applyFont="1" applyFill="1"/>
    <xf numFmtId="0" fontId="8" fillId="16" borderId="0" xfId="0" applyFont="1" applyFill="1" applyAlignment="1">
      <alignment horizontal="left"/>
    </xf>
    <xf numFmtId="171" fontId="14" fillId="0" borderId="0" xfId="0" applyNumberFormat="1" applyFont="1"/>
    <xf numFmtId="171" fontId="14" fillId="17" borderId="0" xfId="0" applyNumberFormat="1" applyFont="1" applyFill="1"/>
    <xf numFmtId="171" fontId="8" fillId="17" borderId="0" xfId="0" applyNumberFormat="1" applyFont="1" applyFill="1"/>
    <xf numFmtId="171" fontId="44" fillId="17" borderId="0" xfId="0" applyNumberFormat="1" applyFont="1" applyFill="1"/>
    <xf numFmtId="171" fontId="14" fillId="12" borderId="55" xfId="0" applyNumberFormat="1" applyFont="1" applyFill="1" applyBorder="1"/>
    <xf numFmtId="191" fontId="8" fillId="0" borderId="0" xfId="0" applyNumberFormat="1" applyFont="1"/>
    <xf numFmtId="190" fontId="8" fillId="15" borderId="0" xfId="0" applyNumberFormat="1" applyFont="1" applyFill="1"/>
    <xf numFmtId="190" fontId="8" fillId="13" borderId="0" xfId="0" applyNumberFormat="1" applyFont="1" applyFill="1"/>
    <xf numFmtId="171" fontId="12" fillId="15" borderId="0" xfId="0" applyNumberFormat="1" applyFont="1" applyFill="1"/>
    <xf numFmtId="171" fontId="12" fillId="13" borderId="0" xfId="0" applyNumberFormat="1" applyFont="1" applyFill="1"/>
    <xf numFmtId="171" fontId="12" fillId="0" borderId="0" xfId="0" applyNumberFormat="1" applyFont="1"/>
    <xf numFmtId="192" fontId="8" fillId="12" borderId="0" xfId="0" applyNumberFormat="1" applyFont="1" applyFill="1"/>
    <xf numFmtId="192" fontId="8" fillId="15" borderId="0" xfId="0" applyNumberFormat="1" applyFont="1" applyFill="1"/>
    <xf numFmtId="192" fontId="8" fillId="13" borderId="0" xfId="0" applyNumberFormat="1" applyFont="1" applyFill="1"/>
    <xf numFmtId="171" fontId="14" fillId="18" borderId="0" xfId="0" applyNumberFormat="1" applyFont="1" applyFill="1"/>
    <xf numFmtId="171" fontId="14" fillId="19" borderId="0" xfId="0" applyNumberFormat="1" applyFont="1" applyFill="1"/>
    <xf numFmtId="171" fontId="14" fillId="15" borderId="0" xfId="0" applyNumberFormat="1" applyFont="1" applyFill="1"/>
    <xf numFmtId="171" fontId="14" fillId="13" borderId="0" xfId="0" applyNumberFormat="1" applyFont="1" applyFill="1"/>
    <xf numFmtId="171" fontId="14" fillId="15" borderId="13" xfId="0" applyNumberFormat="1" applyFont="1" applyFill="1" applyBorder="1"/>
    <xf numFmtId="171" fontId="14" fillId="13" borderId="13" xfId="0" applyNumberFormat="1" applyFont="1" applyFill="1" applyBorder="1"/>
    <xf numFmtId="171" fontId="14" fillId="0" borderId="13" xfId="0" applyNumberFormat="1" applyFont="1" applyBorder="1"/>
    <xf numFmtId="169" fontId="8" fillId="12" borderId="0" xfId="0" applyNumberFormat="1" applyFont="1" applyFill="1"/>
    <xf numFmtId="169" fontId="8" fillId="15" borderId="0" xfId="0" applyNumberFormat="1" applyFont="1" applyFill="1"/>
    <xf numFmtId="169" fontId="8" fillId="13" borderId="0" xfId="0" applyNumberFormat="1" applyFont="1" applyFill="1"/>
    <xf numFmtId="185" fontId="8" fillId="20" borderId="0" xfId="0" applyNumberFormat="1" applyFont="1" applyFill="1"/>
    <xf numFmtId="171" fontId="8" fillId="12" borderId="13" xfId="0" applyNumberFormat="1" applyFont="1" applyFill="1" applyBorder="1"/>
    <xf numFmtId="185" fontId="8" fillId="18" borderId="0" xfId="0" applyNumberFormat="1" applyFont="1" applyFill="1"/>
    <xf numFmtId="185" fontId="8" fillId="19" borderId="0" xfId="0" applyNumberFormat="1" applyFont="1" applyFill="1"/>
    <xf numFmtId="0" fontId="8" fillId="0" borderId="0" xfId="0" applyFont="1" applyAlignment="1">
      <alignment horizontal="left" indent="1"/>
    </xf>
    <xf numFmtId="0" fontId="8" fillId="21" borderId="0" xfId="0" applyFont="1" applyFill="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1" fontId="8" fillId="12" borderId="0" xfId="0" applyNumberFormat="1" applyFont="1" applyFill="1"/>
    <xf numFmtId="171" fontId="8" fillId="22" borderId="0" xfId="0" applyNumberFormat="1" applyFont="1" applyFill="1"/>
    <xf numFmtId="171" fontId="8" fillId="22" borderId="13" xfId="0" applyNumberFormat="1" applyFont="1" applyFill="1" applyBorder="1"/>
    <xf numFmtId="185" fontId="8" fillId="22" borderId="0" xfId="0" applyNumberFormat="1" applyFont="1" applyFill="1"/>
    <xf numFmtId="171"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1" fontId="12" fillId="0" borderId="13" xfId="0" applyNumberFormat="1" applyFont="1" applyBorder="1"/>
    <xf numFmtId="185" fontId="7" fillId="12" borderId="0" xfId="0" applyNumberFormat="1" applyFont="1" applyFill="1"/>
    <xf numFmtId="171" fontId="7" fillId="12" borderId="13" xfId="0" applyNumberFormat="1" applyFont="1" applyFill="1" applyBorder="1"/>
    <xf numFmtId="185" fontId="14" fillId="0" borderId="0" xfId="0" applyNumberFormat="1" applyFont="1"/>
    <xf numFmtId="185" fontId="14" fillId="12" borderId="0" xfId="0" applyNumberFormat="1" applyFont="1" applyFill="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45" fillId="12" borderId="0" xfId="0" applyNumberFormat="1" applyFont="1" applyFill="1"/>
    <xf numFmtId="0" fontId="21" fillId="0" borderId="26" xfId="0" applyFont="1" applyBorder="1" applyAlignment="1">
      <alignment horizontal="left"/>
    </xf>
    <xf numFmtId="0" fontId="21" fillId="0" borderId="26" xfId="0" applyFont="1" applyBorder="1"/>
    <xf numFmtId="194" fontId="21" fillId="12" borderId="26" xfId="0" applyNumberFormat="1" applyFont="1" applyFill="1" applyBorder="1" applyAlignment="1">
      <alignment horizontal="right"/>
    </xf>
    <xf numFmtId="194" fontId="21" fillId="0" borderId="26" xfId="0" applyNumberFormat="1" applyFont="1" applyBorder="1" applyAlignment="1">
      <alignment horizontal="right"/>
    </xf>
    <xf numFmtId="194" fontId="21" fillId="13" borderId="26" xfId="0" applyNumberFormat="1" applyFont="1" applyFill="1" applyBorder="1" applyAlignment="1">
      <alignment horizontal="right"/>
    </xf>
    <xf numFmtId="194" fontId="21"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173" fontId="8" fillId="12" borderId="0" xfId="0" applyNumberFormat="1" applyFont="1" applyFill="1"/>
    <xf numFmtId="173" fontId="12" fillId="13" borderId="0" xfId="0" applyNumberFormat="1" applyFont="1" applyFill="1"/>
    <xf numFmtId="173" fontId="12" fillId="0" borderId="0" xfId="0" applyNumberFormat="1" applyFont="1"/>
    <xf numFmtId="187" fontId="14" fillId="12" borderId="0" xfId="0" applyNumberFormat="1" applyFont="1" applyFill="1"/>
    <xf numFmtId="171" fontId="44" fillId="0" borderId="0" xfId="0" applyNumberFormat="1" applyFont="1"/>
    <xf numFmtId="171" fontId="8" fillId="23" borderId="0" xfId="0" applyNumberFormat="1" applyFont="1" applyFill="1"/>
    <xf numFmtId="187" fontId="8" fillId="0" borderId="13" xfId="0" applyNumberFormat="1" applyFont="1" applyBorder="1"/>
    <xf numFmtId="186" fontId="18" fillId="0" borderId="0" xfId="0" applyNumberFormat="1" applyFont="1"/>
    <xf numFmtId="186" fontId="31" fillId="0" borderId="0" xfId="0" applyNumberFormat="1" applyFont="1" applyAlignment="1">
      <alignment horizontal="center"/>
    </xf>
    <xf numFmtId="186" fontId="8" fillId="20" borderId="0" xfId="0" applyNumberFormat="1" applyFont="1" applyFill="1"/>
    <xf numFmtId="186" fontId="8" fillId="17" borderId="0" xfId="0" applyNumberFormat="1" applyFont="1" applyFill="1"/>
    <xf numFmtId="0" fontId="8" fillId="16" borderId="0" xfId="0" applyFont="1" applyFill="1"/>
    <xf numFmtId="173" fontId="8"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185" fontId="21" fillId="12" borderId="0" xfId="0" applyNumberFormat="1" applyFont="1" applyFill="1"/>
    <xf numFmtId="185" fontId="21" fillId="0" borderId="0" xfId="0" applyNumberFormat="1" applyFont="1"/>
    <xf numFmtId="185" fontId="21" fillId="13"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17" borderId="0" xfId="0" applyNumberFormat="1" applyFont="1" applyFill="1"/>
    <xf numFmtId="169" fontId="12" fillId="13" borderId="0" xfId="0" applyNumberFormat="1" applyFont="1" applyFill="1"/>
    <xf numFmtId="169" fontId="14" fillId="13" borderId="0" xfId="0" applyNumberFormat="1" applyFont="1" applyFill="1"/>
    <xf numFmtId="169" fontId="14" fillId="0" borderId="0" xfId="0" applyNumberFormat="1" applyFont="1"/>
    <xf numFmtId="171" fontId="8"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1" fontId="14" fillId="4" borderId="13" xfId="0" applyNumberFormat="1" applyFont="1" applyFill="1" applyBorder="1"/>
    <xf numFmtId="185" fontId="8" fillId="4" borderId="0" xfId="0" applyNumberFormat="1" applyFont="1" applyFill="1"/>
    <xf numFmtId="173" fontId="21" fillId="12" borderId="0" xfId="0" applyNumberFormat="1" applyFont="1" applyFill="1"/>
    <xf numFmtId="173" fontId="21" fillId="4" borderId="0" xfId="0" applyNumberFormat="1" applyFont="1" applyFill="1"/>
    <xf numFmtId="173" fontId="21" fillId="0" borderId="0" xfId="0" applyNumberFormat="1" applyFont="1"/>
    <xf numFmtId="173" fontId="40" fillId="13" borderId="0" xfId="0" applyNumberFormat="1" applyFont="1" applyFill="1"/>
    <xf numFmtId="173" fontId="40" fillId="0" borderId="0" xfId="0" applyNumberFormat="1" applyFont="1"/>
    <xf numFmtId="171" fontId="14" fillId="4" borderId="0" xfId="0" applyNumberFormat="1" applyFont="1" applyFill="1"/>
    <xf numFmtId="171" fontId="8" fillId="4" borderId="13" xfId="0" applyNumberFormat="1" applyFont="1" applyFill="1" applyBorder="1"/>
    <xf numFmtId="182" fontId="8" fillId="13" borderId="0" xfId="0" applyNumberFormat="1" applyFont="1" applyFill="1"/>
    <xf numFmtId="187" fontId="14" fillId="13"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13" borderId="13" xfId="0" applyNumberFormat="1" applyFont="1" applyFill="1" applyBorder="1"/>
    <xf numFmtId="190" fontId="8" fillId="0" borderId="13" xfId="0" applyNumberFormat="1" applyFont="1" applyBorder="1"/>
    <xf numFmtId="187" fontId="12" fillId="13" borderId="0" xfId="0" applyNumberFormat="1" applyFont="1" applyFill="1"/>
    <xf numFmtId="187" fontId="12" fillId="0" borderId="0" xfId="0" applyNumberFormat="1" applyFont="1"/>
    <xf numFmtId="186" fontId="21" fillId="12" borderId="0" xfId="0" applyNumberFormat="1" applyFont="1" applyFill="1"/>
    <xf numFmtId="186" fontId="21" fillId="0" borderId="0" xfId="0" applyNumberFormat="1" applyFont="1"/>
    <xf numFmtId="186" fontId="21" fillId="13" borderId="0" xfId="0" applyNumberFormat="1" applyFont="1" applyFill="1"/>
    <xf numFmtId="187" fontId="8" fillId="24" borderId="0" xfId="0" applyNumberFormat="1" applyFont="1" applyFill="1"/>
    <xf numFmtId="195" fontId="40" fillId="13" borderId="0" xfId="0" applyNumberFormat="1" applyFont="1" applyFill="1"/>
    <xf numFmtId="195" fontId="40" fillId="0" borderId="0" xfId="0" applyNumberFormat="1" applyFont="1"/>
    <xf numFmtId="10" fontId="8" fillId="12" borderId="0" xfId="0" applyNumberFormat="1" applyFont="1" applyFill="1"/>
    <xf numFmtId="0" fontId="8" fillId="12" borderId="26" xfId="0" applyFont="1" applyFill="1" applyBorder="1"/>
    <xf numFmtId="185" fontId="8" fillId="16" borderId="0" xfId="0" applyNumberFormat="1" applyFont="1" applyFill="1"/>
    <xf numFmtId="0" fontId="18" fillId="16" borderId="0" xfId="0" applyFont="1" applyFill="1"/>
    <xf numFmtId="0" fontId="8" fillId="25" borderId="0" xfId="0" applyFont="1" applyFill="1"/>
    <xf numFmtId="171" fontId="14" fillId="12" borderId="0" xfId="0" applyNumberFormat="1" applyFont="1" applyFill="1" applyAlignment="1">
      <alignment horizontal="right"/>
    </xf>
    <xf numFmtId="171" fontId="8" fillId="0" borderId="0" xfId="0" applyNumberFormat="1" applyFont="1" applyAlignment="1">
      <alignment horizontal="right"/>
    </xf>
    <xf numFmtId="171" fontId="12" fillId="13" borderId="0" xfId="0" applyNumberFormat="1" applyFont="1" applyFill="1" applyAlignment="1">
      <alignment horizontal="right"/>
    </xf>
    <xf numFmtId="171" fontId="12" fillId="0" borderId="0" xfId="0" applyNumberFormat="1" applyFont="1" applyAlignment="1">
      <alignment horizontal="right"/>
    </xf>
    <xf numFmtId="171" fontId="8" fillId="12" borderId="0" xfId="0" applyNumberFormat="1" applyFont="1" applyFill="1" applyAlignment="1">
      <alignment horizontal="right"/>
    </xf>
    <xf numFmtId="173" fontId="8" fillId="12" borderId="0" xfId="0" applyNumberFormat="1" applyFont="1" applyFill="1" applyAlignment="1">
      <alignment horizontal="right"/>
    </xf>
    <xf numFmtId="173" fontId="8" fillId="13" borderId="0" xfId="0" applyNumberFormat="1" applyFont="1" applyFill="1" applyAlignment="1">
      <alignment horizontal="right"/>
    </xf>
    <xf numFmtId="0" fontId="14" fillId="0" borderId="0" xfId="0" applyFont="1" applyAlignment="1">
      <alignment horizontal="left"/>
    </xf>
    <xf numFmtId="171" fontId="14" fillId="13" borderId="0" xfId="0" applyNumberFormat="1" applyFont="1" applyFill="1" applyAlignment="1">
      <alignment horizontal="right"/>
    </xf>
    <xf numFmtId="171" fontId="14" fillId="0" borderId="0" xfId="0" applyNumberFormat="1" applyFont="1" applyAlignment="1">
      <alignment horizontal="right"/>
    </xf>
    <xf numFmtId="173" fontId="8" fillId="0" borderId="0" xfId="0" applyNumberFormat="1" applyFont="1" applyAlignment="1">
      <alignment horizontal="right"/>
    </xf>
    <xf numFmtId="171"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4" fontId="21" fillId="12" borderId="0" xfId="0" applyNumberFormat="1" applyFont="1" applyFill="1" applyAlignment="1">
      <alignment horizontal="right"/>
    </xf>
    <xf numFmtId="194" fontId="21" fillId="0" borderId="0" xfId="0" applyNumberFormat="1" applyFont="1" applyAlignment="1">
      <alignment horizontal="right"/>
    </xf>
    <xf numFmtId="194" fontId="21" fillId="13" borderId="0" xfId="0" applyNumberFormat="1" applyFont="1" applyFill="1" applyAlignment="1">
      <alignment horizontal="right"/>
    </xf>
    <xf numFmtId="185" fontId="12" fillId="13" borderId="0" xfId="0" applyNumberFormat="1" applyFont="1" applyFill="1" applyAlignment="1">
      <alignment horizontal="right"/>
    </xf>
    <xf numFmtId="171" fontId="7" fillId="0" borderId="0" xfId="0" applyNumberFormat="1" applyFont="1" applyAlignment="1">
      <alignment horizontal="right"/>
    </xf>
    <xf numFmtId="171" fontId="7" fillId="13" borderId="0" xfId="0" applyNumberFormat="1" applyFont="1" applyFill="1" applyAlignment="1">
      <alignment horizontal="right"/>
    </xf>
    <xf numFmtId="194" fontId="39" fillId="12" borderId="0" xfId="0" applyNumberFormat="1" applyFont="1" applyFill="1" applyAlignment="1">
      <alignment horizontal="right"/>
    </xf>
    <xf numFmtId="194" fontId="21" fillId="26"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93" fontId="8" fillId="12" borderId="0" xfId="0" applyNumberFormat="1" applyFont="1" applyFill="1" applyAlignment="1">
      <alignment horizontal="right"/>
    </xf>
    <xf numFmtId="185" fontId="8" fillId="26"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2"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2"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0" borderId="0" xfId="0" applyNumberFormat="1" applyFont="1" applyAlignment="1">
      <alignment horizontal="right"/>
    </xf>
    <xf numFmtId="0" fontId="32"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187" fontId="40" fillId="0" borderId="0" xfId="0" applyNumberFormat="1" applyFont="1" applyAlignment="1">
      <alignment horizontal="right"/>
    </xf>
    <xf numFmtId="196" fontId="8" fillId="0" borderId="0" xfId="0" applyNumberFormat="1" applyFont="1" applyAlignment="1">
      <alignment horizontal="right"/>
    </xf>
    <xf numFmtId="196" fontId="40" fillId="0" borderId="0" xfId="0" applyNumberFormat="1" applyFont="1" applyAlignment="1">
      <alignment horizontal="right"/>
    </xf>
    <xf numFmtId="177" fontId="40" fillId="0" borderId="0" xfId="0" applyNumberFormat="1" applyFont="1" applyAlignment="1">
      <alignment horizontal="right"/>
    </xf>
    <xf numFmtId="185" fontId="40" fillId="0" borderId="0" xfId="0" applyNumberFormat="1" applyFont="1" applyAlignment="1">
      <alignment horizontal="right"/>
    </xf>
    <xf numFmtId="0" fontId="46" fillId="0" borderId="0" xfId="0" applyFont="1"/>
    <xf numFmtId="0" fontId="3" fillId="0" borderId="0" xfId="0" applyFont="1"/>
    <xf numFmtId="0" fontId="32" fillId="2" borderId="2" xfId="0" applyFont="1" applyFill="1" applyBorder="1" applyAlignment="1">
      <alignment horizontal="center"/>
    </xf>
    <xf numFmtId="0" fontId="47" fillId="0" borderId="0" xfId="0" applyFont="1" applyAlignment="1">
      <alignment horizontal="center"/>
    </xf>
    <xf numFmtId="0" fontId="32" fillId="0" borderId="0" xfId="0" applyFont="1" applyAlignment="1">
      <alignment horizontal="center"/>
    </xf>
    <xf numFmtId="0" fontId="48" fillId="0" borderId="0" xfId="0" applyFont="1" applyAlignment="1">
      <alignment horizontal="center"/>
    </xf>
    <xf numFmtId="0" fontId="30" fillId="0" borderId="0" xfId="0" applyFont="1" applyAlignment="1">
      <alignment horizontal="center"/>
    </xf>
    <xf numFmtId="175" fontId="30" fillId="0" borderId="0" xfId="0" applyNumberFormat="1" applyFont="1" applyAlignment="1">
      <alignment horizontal="center"/>
    </xf>
    <xf numFmtId="9" fontId="8" fillId="0" borderId="0" xfId="0" applyNumberFormat="1" applyFont="1" applyAlignment="1">
      <alignment horizontal="center"/>
    </xf>
    <xf numFmtId="168" fontId="10" fillId="2" borderId="3" xfId="0" applyNumberFormat="1" applyFont="1" applyFill="1" applyBorder="1" applyAlignment="1">
      <alignment horizontal="center"/>
    </xf>
    <xf numFmtId="197" fontId="10" fillId="2" borderId="3" xfId="0" applyNumberFormat="1" applyFont="1" applyFill="1" applyBorder="1" applyAlignment="1">
      <alignment horizontal="center"/>
    </xf>
    <xf numFmtId="176" fontId="10" fillId="2" borderId="3" xfId="0" applyNumberFormat="1" applyFont="1" applyFill="1" applyBorder="1" applyAlignment="1">
      <alignment horizontal="center"/>
    </xf>
    <xf numFmtId="176" fontId="10" fillId="2" borderId="4" xfId="0" applyNumberFormat="1" applyFont="1" applyFill="1" applyBorder="1" applyAlignment="1">
      <alignment horizontal="center"/>
    </xf>
    <xf numFmtId="198" fontId="10" fillId="2" borderId="3" xfId="0" applyNumberFormat="1" applyFont="1" applyFill="1" applyBorder="1" applyAlignment="1">
      <alignment horizontal="center"/>
    </xf>
    <xf numFmtId="199" fontId="8" fillId="0" borderId="0" xfId="0" applyNumberFormat="1" applyFont="1" applyAlignment="1">
      <alignment horizontal="center"/>
    </xf>
    <xf numFmtId="198" fontId="8" fillId="0" borderId="0" xfId="0" applyNumberFormat="1" applyFont="1" applyAlignment="1">
      <alignment horizontal="center"/>
    </xf>
    <xf numFmtId="200" fontId="8" fillId="0" borderId="0" xfId="0" applyNumberFormat="1" applyFont="1" applyAlignment="1">
      <alignment horizontal="center"/>
    </xf>
    <xf numFmtId="37" fontId="8" fillId="0" borderId="0" xfId="0" applyNumberFormat="1" applyFont="1" applyAlignment="1">
      <alignment horizontal="center"/>
    </xf>
    <xf numFmtId="197" fontId="8" fillId="0" borderId="0" xfId="0" applyNumberFormat="1" applyFont="1" applyAlignment="1">
      <alignment horizontal="center"/>
    </xf>
    <xf numFmtId="197" fontId="8" fillId="16" borderId="0" xfId="0" applyNumberFormat="1" applyFont="1" applyFill="1" applyAlignment="1">
      <alignment horizontal="center"/>
    </xf>
    <xf numFmtId="176" fontId="8" fillId="0" borderId="0" xfId="0" applyNumberFormat="1" applyFont="1" applyAlignment="1">
      <alignment horizontal="center"/>
    </xf>
    <xf numFmtId="167" fontId="8" fillId="0" borderId="0" xfId="0" applyNumberFormat="1" applyFont="1" applyAlignment="1">
      <alignment horizontal="center"/>
    </xf>
    <xf numFmtId="167" fontId="8" fillId="16" borderId="0" xfId="0" applyNumberFormat="1" applyFont="1" applyFill="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197" fontId="8" fillId="4" borderId="57" xfId="0" applyNumberFormat="1" applyFont="1" applyFill="1" applyBorder="1" applyAlignment="1">
      <alignment horizontal="center"/>
    </xf>
    <xf numFmtId="197" fontId="8" fillId="27" borderId="57" xfId="0" applyNumberFormat="1" applyFont="1" applyFill="1" applyBorder="1" applyAlignment="1">
      <alignment horizontal="center"/>
    </xf>
    <xf numFmtId="200" fontId="8" fillId="4" borderId="57" xfId="0" applyNumberFormat="1" applyFont="1" applyFill="1" applyBorder="1" applyAlignment="1">
      <alignment horizontal="center"/>
    </xf>
    <xf numFmtId="176" fontId="8" fillId="4" borderId="57" xfId="0" applyNumberFormat="1" applyFont="1" applyFill="1" applyBorder="1" applyAlignment="1">
      <alignment horizontal="center"/>
    </xf>
    <xf numFmtId="176" fontId="8" fillId="4" borderId="58" xfId="0" applyNumberFormat="1" applyFont="1" applyFill="1" applyBorder="1" applyAlignment="1">
      <alignment horizontal="center"/>
    </xf>
    <xf numFmtId="198" fontId="8" fillId="4" borderId="57"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197" fontId="8" fillId="4" borderId="0" xfId="0" applyNumberFormat="1" applyFont="1" applyFill="1" applyAlignment="1">
      <alignment horizontal="center"/>
    </xf>
    <xf numFmtId="197" fontId="8" fillId="27" borderId="0" xfId="0" applyNumberFormat="1" applyFont="1" applyFill="1" applyAlignment="1">
      <alignment horizontal="center"/>
    </xf>
    <xf numFmtId="200" fontId="8" fillId="4" borderId="0" xfId="0" applyNumberFormat="1" applyFont="1" applyFill="1" applyAlignment="1">
      <alignment horizontal="center"/>
    </xf>
    <xf numFmtId="176" fontId="8" fillId="4" borderId="0" xfId="0" applyNumberFormat="1" applyFont="1" applyFill="1" applyAlignment="1">
      <alignment horizontal="center"/>
    </xf>
    <xf numFmtId="176" fontId="8" fillId="4" borderId="29" xfId="0" applyNumberFormat="1" applyFont="1" applyFill="1" applyBorder="1" applyAlignment="1">
      <alignment horizontal="center"/>
    </xf>
    <xf numFmtId="198" fontId="8" fillId="4" borderId="0" xfId="0" applyNumberFormat="1" applyFont="1" applyFill="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197" fontId="8" fillId="4" borderId="61" xfId="0" applyNumberFormat="1" applyFont="1" applyFill="1" applyBorder="1" applyAlignment="1">
      <alignment horizontal="center"/>
    </xf>
    <xf numFmtId="197" fontId="8" fillId="27" borderId="61" xfId="0" applyNumberFormat="1" applyFont="1" applyFill="1" applyBorder="1" applyAlignment="1">
      <alignment horizontal="center"/>
    </xf>
    <xf numFmtId="200" fontId="8" fillId="4" borderId="61" xfId="0" applyNumberFormat="1" applyFont="1" applyFill="1" applyBorder="1" applyAlignment="1">
      <alignment horizontal="center"/>
    </xf>
    <xf numFmtId="176" fontId="8" fillId="4" borderId="61" xfId="0" applyNumberFormat="1" applyFont="1" applyFill="1" applyBorder="1" applyAlignment="1">
      <alignment horizontal="center"/>
    </xf>
    <xf numFmtId="176" fontId="8" fillId="4" borderId="62" xfId="0" applyNumberFormat="1" applyFont="1" applyFill="1" applyBorder="1" applyAlignment="1">
      <alignment horizontal="center"/>
    </xf>
    <xf numFmtId="198" fontId="8" fillId="4" borderId="61" xfId="0" applyNumberFormat="1" applyFont="1" applyFill="1" applyBorder="1" applyAlignment="1">
      <alignment horizontal="center"/>
    </xf>
    <xf numFmtId="0" fontId="49" fillId="0" borderId="0" xfId="0" applyFont="1" applyAlignment="1">
      <alignment horizontal="center"/>
    </xf>
    <xf numFmtId="201" fontId="10" fillId="2" borderId="3" xfId="0" applyNumberFormat="1" applyFont="1" applyFill="1" applyBorder="1" applyAlignment="1">
      <alignment horizontal="center"/>
    </xf>
    <xf numFmtId="202" fontId="8" fillId="0" borderId="0" xfId="0" applyNumberFormat="1" applyFont="1" applyAlignment="1">
      <alignment horizontal="center"/>
    </xf>
    <xf numFmtId="201" fontId="8" fillId="0" borderId="0" xfId="0" applyNumberFormat="1" applyFont="1" applyAlignment="1">
      <alignment horizontal="center"/>
    </xf>
    <xf numFmtId="170"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3" fontId="8" fillId="0" borderId="61" xfId="0" applyNumberFormat="1" applyFont="1" applyBorder="1" applyAlignment="1">
      <alignment horizontal="center"/>
    </xf>
    <xf numFmtId="0" fontId="8" fillId="0" borderId="61" xfId="0" applyFont="1" applyBorder="1" applyAlignment="1">
      <alignment horizontal="center"/>
    </xf>
    <xf numFmtId="176" fontId="8" fillId="0" borderId="61" xfId="0" applyNumberFormat="1" applyFont="1" applyBorder="1" applyAlignment="1">
      <alignment horizontal="center"/>
    </xf>
    <xf numFmtId="200" fontId="8" fillId="0" borderId="61" xfId="0" applyNumberFormat="1" applyFont="1" applyBorder="1" applyAlignment="1">
      <alignment horizontal="center"/>
    </xf>
    <xf numFmtId="203"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50" fillId="0" borderId="0" xfId="0" applyFont="1"/>
    <xf numFmtId="0" fontId="13" fillId="0" borderId="0" xfId="0" applyFont="1"/>
    <xf numFmtId="0" fontId="8" fillId="28" borderId="2" xfId="0" applyFont="1" applyFill="1" applyBorder="1"/>
    <xf numFmtId="0" fontId="8" fillId="28" borderId="3" xfId="0" applyFont="1" applyFill="1" applyBorder="1"/>
    <xf numFmtId="0" fontId="8" fillId="28" borderId="3" xfId="0" applyFont="1" applyFill="1" applyBorder="1" applyAlignment="1">
      <alignment horizontal="center"/>
    </xf>
    <xf numFmtId="168" fontId="8" fillId="28" borderId="3" xfId="0" applyNumberFormat="1" applyFont="1" applyFill="1" applyBorder="1" applyAlignment="1">
      <alignment horizontal="center"/>
    </xf>
    <xf numFmtId="198" fontId="8" fillId="28" borderId="3" xfId="0" applyNumberFormat="1" applyFont="1" applyFill="1" applyBorder="1" applyAlignment="1">
      <alignment horizontal="center"/>
    </xf>
    <xf numFmtId="176" fontId="8" fillId="28" borderId="3" xfId="0" applyNumberFormat="1" applyFont="1" applyFill="1" applyBorder="1" applyAlignment="1">
      <alignment horizontal="center"/>
    </xf>
    <xf numFmtId="176" fontId="8" fillId="28" borderId="4" xfId="0" applyNumberFormat="1" applyFont="1" applyFill="1" applyBorder="1" applyAlignment="1">
      <alignment horizontal="center"/>
    </xf>
    <xf numFmtId="173"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19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176" fontId="10" fillId="2" borderId="64" xfId="0" applyNumberFormat="1" applyFont="1" applyFill="1" applyBorder="1" applyAlignment="1">
      <alignment horizontal="center"/>
    </xf>
    <xf numFmtId="176"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198" fontId="10" fillId="2" borderId="26" xfId="0" applyNumberFormat="1" applyFont="1" applyFill="1" applyBorder="1" applyAlignment="1">
      <alignment horizontal="center"/>
    </xf>
    <xf numFmtId="204" fontId="10" fillId="2" borderId="26" xfId="0" applyNumberFormat="1" applyFont="1" applyFill="1" applyBorder="1" applyAlignment="1">
      <alignment horizontal="center"/>
    </xf>
    <xf numFmtId="176" fontId="10" fillId="2" borderId="26" xfId="0" applyNumberFormat="1" applyFont="1" applyFill="1" applyBorder="1" applyAlignment="1">
      <alignment horizontal="center"/>
    </xf>
    <xf numFmtId="176"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198" fontId="10" fillId="2" borderId="69" xfId="0" applyNumberFormat="1" applyFont="1" applyFill="1" applyBorder="1" applyAlignment="1">
      <alignment horizontal="center"/>
    </xf>
    <xf numFmtId="204" fontId="10" fillId="2" borderId="69" xfId="0" applyNumberFormat="1" applyFont="1" applyFill="1" applyBorder="1" applyAlignment="1">
      <alignment horizontal="center"/>
    </xf>
    <xf numFmtId="176" fontId="10" fillId="2" borderId="69" xfId="0" applyNumberFormat="1" applyFont="1" applyFill="1" applyBorder="1" applyAlignment="1">
      <alignment horizontal="center"/>
    </xf>
    <xf numFmtId="176" fontId="10" fillId="2" borderId="70" xfId="0" applyNumberFormat="1" applyFont="1" applyFill="1" applyBorder="1" applyAlignment="1">
      <alignment horizontal="center"/>
    </xf>
    <xf numFmtId="201" fontId="8" fillId="28" borderId="3" xfId="0" applyNumberFormat="1" applyFont="1" applyFill="1" applyBorder="1" applyAlignment="1">
      <alignment horizontal="center"/>
    </xf>
    <xf numFmtId="0" fontId="8" fillId="28" borderId="4" xfId="0" applyFont="1" applyFill="1" applyBorder="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2" fontId="10" fillId="2" borderId="26" xfId="0" applyNumberFormat="1" applyFont="1" applyFill="1" applyBorder="1" applyAlignment="1">
      <alignment horizontal="center"/>
    </xf>
    <xf numFmtId="178"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8" fontId="10" fillId="2" borderId="69" xfId="0" applyNumberFormat="1" applyFont="1" applyFill="1" applyBorder="1" applyAlignment="1">
      <alignment horizontal="center"/>
    </xf>
    <xf numFmtId="0" fontId="8" fillId="28"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42" xfId="0" applyFont="1" applyBorder="1"/>
    <xf numFmtId="0" fontId="14" fillId="0" borderId="6" xfId="0" applyFont="1" applyBorder="1"/>
    <xf numFmtId="0" fontId="14" fillId="0" borderId="13" xfId="0" applyFont="1" applyBorder="1"/>
    <xf numFmtId="0" fontId="32" fillId="0" borderId="0" xfId="0" applyFont="1"/>
    <xf numFmtId="205" fontId="10" fillId="0" borderId="0" xfId="0" applyNumberFormat="1" applyFont="1" applyAlignment="1">
      <alignment horizontal="left"/>
    </xf>
    <xf numFmtId="0" fontId="8" fillId="0" borderId="0" xfId="0" applyFont="1" applyAlignment="1">
      <alignment horizontal="left" vertical="top" wrapText="1"/>
    </xf>
    <xf numFmtId="0" fontId="51" fillId="29" borderId="0" xfId="0" applyFont="1" applyFill="1"/>
    <xf numFmtId="0" fontId="32" fillId="29" borderId="0" xfId="0" applyFont="1" applyFill="1"/>
    <xf numFmtId="0" fontId="45" fillId="0" borderId="0" xfId="0" applyFont="1"/>
    <xf numFmtId="0" fontId="45" fillId="0" borderId="13" xfId="0" applyFont="1" applyBorder="1"/>
    <xf numFmtId="0" fontId="12" fillId="0" borderId="0" xfId="0" applyFont="1"/>
    <xf numFmtId="0" fontId="9" fillId="0" borderId="13" xfId="0" applyFont="1" applyBorder="1"/>
    <xf numFmtId="0" fontId="8" fillId="3" borderId="1" xfId="0" applyFont="1" applyFill="1" applyBorder="1" applyAlignment="1">
      <alignment horizontal="center"/>
    </xf>
    <xf numFmtId="206"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7" fontId="8" fillId="0" borderId="18" xfId="0" applyNumberFormat="1" applyFont="1" applyBorder="1" applyAlignment="1">
      <alignment horizontal="center"/>
    </xf>
    <xf numFmtId="167" fontId="8" fillId="0" borderId="18" xfId="0" applyNumberFormat="1" applyFont="1" applyBorder="1" applyAlignment="1">
      <alignment horizontal="center"/>
    </xf>
    <xf numFmtId="170" fontId="14" fillId="0" borderId="0" xfId="0" applyNumberFormat="1" applyFont="1"/>
    <xf numFmtId="0" fontId="8" fillId="0" borderId="2" xfId="0" applyFont="1" applyBorder="1"/>
    <xf numFmtId="0" fontId="8" fillId="0" borderId="3" xfId="0" applyFont="1" applyBorder="1"/>
    <xf numFmtId="206" fontId="8" fillId="0" borderId="4" xfId="0" applyNumberFormat="1" applyFont="1" applyBorder="1" applyAlignment="1">
      <alignment horizontal="center"/>
    </xf>
    <xf numFmtId="206" fontId="8" fillId="0" borderId="18" xfId="0" applyNumberFormat="1" applyFont="1" applyBorder="1"/>
    <xf numFmtId="184" fontId="21"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6" fontId="8" fillId="0" borderId="44" xfId="0" applyNumberFormat="1" applyFont="1" applyBorder="1" applyAlignment="1">
      <alignment horizontal="center"/>
    </xf>
    <xf numFmtId="206" fontId="8" fillId="0" borderId="18" xfId="0" applyNumberFormat="1" applyFont="1" applyBorder="1" applyAlignment="1">
      <alignment horizontal="center"/>
    </xf>
    <xf numFmtId="206" fontId="8" fillId="0" borderId="42" xfId="0" applyNumberFormat="1" applyFont="1" applyBorder="1" applyAlignment="1">
      <alignment horizontal="center"/>
    </xf>
    <xf numFmtId="0" fontId="11" fillId="0" borderId="72" xfId="0" applyFont="1" applyBorder="1"/>
    <xf numFmtId="206" fontId="8" fillId="0" borderId="5" xfId="0" applyNumberFormat="1" applyFont="1" applyBorder="1" applyAlignment="1">
      <alignment horizontal="center"/>
    </xf>
    <xf numFmtId="206" fontId="10" fillId="2" borderId="0" xfId="0" applyNumberFormat="1" applyFont="1" applyFill="1" applyAlignment="1">
      <alignment horizontal="center"/>
    </xf>
    <xf numFmtId="206"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6" fontId="8" fillId="0" borderId="12" xfId="0" applyNumberFormat="1" applyFont="1" applyBorder="1" applyAlignment="1">
      <alignment horizontal="center"/>
    </xf>
    <xf numFmtId="206" fontId="8" fillId="0" borderId="13" xfId="0" applyNumberFormat="1" applyFont="1" applyBorder="1" applyAlignment="1">
      <alignment horizontal="center"/>
    </xf>
    <xf numFmtId="206" fontId="8" fillId="0" borderId="14" xfId="0" applyNumberFormat="1" applyFont="1" applyBorder="1" applyAlignment="1">
      <alignment horizontal="center"/>
    </xf>
    <xf numFmtId="170" fontId="12" fillId="0" borderId="0" xfId="0" applyNumberFormat="1" applyFont="1"/>
    <xf numFmtId="39" fontId="8" fillId="0" borderId="0" xfId="0" applyNumberFormat="1" applyFont="1"/>
    <xf numFmtId="39" fontId="12" fillId="0" borderId="0" xfId="0" applyNumberFormat="1" applyFont="1" applyAlignment="1">
      <alignment horizontal="center"/>
    </xf>
    <xf numFmtId="200"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6"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0" fontId="12" fillId="0" borderId="13" xfId="0" applyNumberFormat="1" applyFont="1" applyBorder="1" applyAlignment="1">
      <alignment horizontal="center"/>
    </xf>
    <xf numFmtId="170"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0"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08" fontId="8" fillId="0" borderId="26" xfId="0" applyNumberFormat="1" applyFont="1" applyBorder="1"/>
    <xf numFmtId="39" fontId="12" fillId="0" borderId="24" xfId="0" applyNumberFormat="1" applyFont="1" applyBorder="1" applyAlignment="1">
      <alignment horizontal="center"/>
    </xf>
    <xf numFmtId="0" fontId="8" fillId="30" borderId="0" xfId="0" applyFont="1" applyFill="1"/>
    <xf numFmtId="0" fontId="8" fillId="30" borderId="0" xfId="0" applyFont="1" applyFill="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2" fillId="2" borderId="44" xfId="0" applyFont="1" applyFill="1" applyBorder="1" applyAlignment="1">
      <alignment horizontal="center"/>
    </xf>
    <xf numFmtId="0" fontId="11" fillId="0" borderId="18" xfId="0" applyFont="1" applyBorder="1"/>
    <xf numFmtId="204"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1" fillId="0" borderId="0" xfId="0" applyNumberFormat="1" applyFont="1" applyAlignment="1">
      <alignment horizontal="center"/>
    </xf>
    <xf numFmtId="0" fontId="10" fillId="0" borderId="0" xfId="0" applyFont="1" applyAlignment="1">
      <alignment shrinkToFit="1"/>
    </xf>
    <xf numFmtId="167" fontId="40" fillId="0" borderId="0" xfId="0" applyNumberFormat="1" applyFont="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1" fillId="0" borderId="13" xfId="0" applyFont="1" applyBorder="1"/>
    <xf numFmtId="166" fontId="21" fillId="0" borderId="13" xfId="0" applyNumberFormat="1" applyFont="1" applyBorder="1" applyAlignment="1">
      <alignment horizontal="center"/>
    </xf>
    <xf numFmtId="167" fontId="21" fillId="0" borderId="13" xfId="0" applyNumberFormat="1" applyFont="1" applyBorder="1" applyAlignment="1">
      <alignment horizontal="center"/>
    </xf>
    <xf numFmtId="166" fontId="21" fillId="0" borderId="0" xfId="0" applyNumberFormat="1" applyFont="1"/>
    <xf numFmtId="0" fontId="40" fillId="0" borderId="0" xfId="0" applyFont="1" applyAlignment="1">
      <alignment horizontal="center"/>
    </xf>
    <xf numFmtId="1" fontId="10" fillId="2" borderId="18" xfId="0" applyNumberFormat="1" applyFont="1" applyFill="1" applyBorder="1" applyAlignment="1">
      <alignment horizontal="center"/>
    </xf>
    <xf numFmtId="0" fontId="10" fillId="2" borderId="74" xfId="0" applyFont="1" applyFill="1" applyBorder="1" applyAlignment="1">
      <alignment horizontal="center"/>
    </xf>
    <xf numFmtId="0" fontId="10" fillId="2" borderId="33" xfId="0" applyFont="1" applyFill="1" applyBorder="1" applyAlignment="1">
      <alignment horizontal="center"/>
    </xf>
    <xf numFmtId="0" fontId="52" fillId="0" borderId="0" xfId="0" applyFont="1" applyAlignment="1">
      <alignment horizontal="center"/>
    </xf>
    <xf numFmtId="0" fontId="52" fillId="0" borderId="0" xfId="0" applyFont="1"/>
    <xf numFmtId="0" fontId="52" fillId="2" borderId="12" xfId="0" applyFont="1" applyFill="1" applyBorder="1" applyAlignment="1">
      <alignment horizontal="left"/>
    </xf>
    <xf numFmtId="0" fontId="52" fillId="2" borderId="13" xfId="0" applyFont="1" applyFill="1" applyBorder="1"/>
    <xf numFmtId="4" fontId="52" fillId="2" borderId="13" xfId="0" applyNumberFormat="1" applyFont="1" applyFill="1" applyBorder="1" applyAlignment="1">
      <alignment horizontal="center"/>
    </xf>
    <xf numFmtId="4" fontId="52" fillId="2" borderId="14" xfId="0" applyNumberFormat="1" applyFont="1" applyFill="1" applyBorder="1" applyAlignment="1">
      <alignment horizontal="center"/>
    </xf>
    <xf numFmtId="0" fontId="8" fillId="26" borderId="75" xfId="0" applyFont="1" applyFill="1" applyBorder="1"/>
    <xf numFmtId="0" fontId="8" fillId="26" borderId="0" xfId="0" applyFont="1" applyFill="1"/>
    <xf numFmtId="0" fontId="8" fillId="26" borderId="30" xfId="0" applyFont="1" applyFill="1" applyBorder="1"/>
    <xf numFmtId="185" fontId="8" fillId="26" borderId="75" xfId="0" applyNumberFormat="1" applyFont="1" applyFill="1" applyBorder="1"/>
    <xf numFmtId="185" fontId="8" fillId="26" borderId="0" xfId="0" applyNumberFormat="1" applyFont="1" applyFill="1"/>
    <xf numFmtId="185" fontId="8" fillId="26" borderId="30" xfId="0" applyNumberFormat="1" applyFont="1" applyFill="1" applyBorder="1"/>
    <xf numFmtId="187" fontId="8" fillId="26" borderId="75" xfId="0" applyNumberFormat="1" applyFont="1" applyFill="1" applyBorder="1"/>
    <xf numFmtId="187" fontId="8" fillId="26" borderId="0" xfId="0" applyNumberFormat="1" applyFont="1" applyFill="1"/>
    <xf numFmtId="187" fontId="8" fillId="26" borderId="30" xfId="0" applyNumberFormat="1" applyFont="1" applyFill="1" applyBorder="1"/>
    <xf numFmtId="187" fontId="8" fillId="26" borderId="76" xfId="0" applyNumberFormat="1" applyFont="1" applyFill="1" applyBorder="1"/>
    <xf numFmtId="187" fontId="8" fillId="26" borderId="13" xfId="0" applyNumberFormat="1" applyFont="1" applyFill="1" applyBorder="1"/>
    <xf numFmtId="187" fontId="8" fillId="26" borderId="77" xfId="0" applyNumberFormat="1" applyFont="1" applyFill="1" applyBorder="1"/>
    <xf numFmtId="186" fontId="8" fillId="26" borderId="75" xfId="0" applyNumberFormat="1" applyFont="1" applyFill="1" applyBorder="1"/>
    <xf numFmtId="186" fontId="8" fillId="26" borderId="0" xfId="0" applyNumberFormat="1" applyFont="1" applyFill="1"/>
    <xf numFmtId="186" fontId="8" fillId="26" borderId="30" xfId="0" applyNumberFormat="1" applyFont="1" applyFill="1" applyBorder="1"/>
    <xf numFmtId="185" fontId="8" fillId="26" borderId="78" xfId="0" applyNumberFormat="1" applyFont="1" applyFill="1" applyBorder="1"/>
    <xf numFmtId="185" fontId="8" fillId="26" borderId="26" xfId="0" applyNumberFormat="1" applyFont="1" applyFill="1" applyBorder="1"/>
    <xf numFmtId="185" fontId="8" fillId="26" borderId="79" xfId="0" applyNumberFormat="1" applyFont="1" applyFill="1" applyBorder="1"/>
    <xf numFmtId="4" fontId="21"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09" fontId="8" fillId="0" borderId="1" xfId="0" applyNumberFormat="1" applyFont="1" applyBorder="1"/>
    <xf numFmtId="209" fontId="8" fillId="0" borderId="0" xfId="0" applyNumberFormat="1" applyFont="1"/>
    <xf numFmtId="210"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2" fillId="0" borderId="0" xfId="0" applyNumberFormat="1" applyFont="1"/>
    <xf numFmtId="37" fontId="14" fillId="0" borderId="6" xfId="0" applyNumberFormat="1" applyFont="1" applyBorder="1"/>
    <xf numFmtId="37" fontId="14" fillId="0" borderId="0" xfId="0" applyNumberFormat="1" applyFont="1"/>
    <xf numFmtId="171" fontId="12" fillId="0" borderId="6" xfId="0" applyNumberFormat="1" applyFont="1" applyBorder="1"/>
    <xf numFmtId="171" fontId="8" fillId="0" borderId="6" xfId="0" applyNumberFormat="1" applyFont="1" applyBorder="1"/>
    <xf numFmtId="169" fontId="8" fillId="0" borderId="42" xfId="0" applyNumberFormat="1" applyFont="1" applyBorder="1"/>
    <xf numFmtId="0" fontId="21" fillId="0" borderId="12" xfId="0" applyFont="1" applyBorder="1" applyAlignment="1">
      <alignment horizontal="left"/>
    </xf>
    <xf numFmtId="167" fontId="21" fillId="0" borderId="14" xfId="0" applyNumberFormat="1" applyFont="1" applyBorder="1"/>
    <xf numFmtId="209" fontId="8" fillId="5" borderId="1" xfId="0" applyNumberFormat="1" applyFont="1" applyFill="1" applyBorder="1" applyAlignment="1">
      <alignment horizontal="center"/>
    </xf>
    <xf numFmtId="209" fontId="8" fillId="5" borderId="0" xfId="0" applyNumberFormat="1" applyFont="1" applyFill="1" applyAlignment="1">
      <alignment horizontal="center"/>
    </xf>
    <xf numFmtId="210"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3" fontId="12" fillId="0" borderId="0" xfId="0" applyNumberFormat="1" applyFont="1" applyAlignment="1">
      <alignment horizontal="center"/>
    </xf>
    <xf numFmtId="10" fontId="14" fillId="0" borderId="0" xfId="0" applyNumberFormat="1" applyFont="1" applyAlignment="1">
      <alignment horizontal="center"/>
    </xf>
    <xf numFmtId="170" fontId="8" fillId="5" borderId="1" xfId="0" applyNumberFormat="1" applyFont="1" applyFill="1" applyBorder="1" applyAlignment="1">
      <alignment horizontal="center"/>
    </xf>
    <xf numFmtId="20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0" fontId="10" fillId="2" borderId="80" xfId="0" applyFont="1" applyFill="1" applyBorder="1" applyAlignment="1">
      <alignment horizontal="center"/>
    </xf>
    <xf numFmtId="0" fontId="11" fillId="0" borderId="80" xfId="0" applyFont="1" applyBorder="1"/>
    <xf numFmtId="211" fontId="14" fillId="0" borderId="0" xfId="0" applyNumberFormat="1" applyFont="1"/>
    <xf numFmtId="169" fontId="10" fillId="0" borderId="0" xfId="0" applyNumberFormat="1" applyFont="1"/>
    <xf numFmtId="200" fontId="8" fillId="0" borderId="13" xfId="0" applyNumberFormat="1" applyFont="1" applyBorder="1" applyAlignment="1">
      <alignment horizontal="center"/>
    </xf>
    <xf numFmtId="200"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0" fontId="8" fillId="0" borderId="72" xfId="0" applyFont="1" applyBorder="1" applyAlignment="1">
      <alignment horizontal="center" vertical="center" wrapText="1"/>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81" xfId="0" applyNumberFormat="1" applyFont="1" applyBorder="1"/>
    <xf numFmtId="182" fontId="8" fillId="0" borderId="0" xfId="0" applyNumberFormat="1" applyFont="1" applyAlignment="1">
      <alignment horizontal="center"/>
    </xf>
    <xf numFmtId="0" fontId="8" fillId="0" borderId="73" xfId="0" applyFont="1" applyBorder="1" applyAlignment="1">
      <alignment horizontal="center" vertical="center" wrapText="1"/>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2"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212" fontId="8" fillId="0" borderId="0" xfId="0" applyNumberFormat="1" applyFont="1"/>
    <xf numFmtId="167" fontId="21" fillId="0" borderId="6" xfId="0" applyNumberFormat="1" applyFont="1" applyBorder="1"/>
    <xf numFmtId="213" fontId="8" fillId="0" borderId="0" xfId="0" applyNumberFormat="1" applyFont="1"/>
    <xf numFmtId="186" fontId="8" fillId="0" borderId="6" xfId="0" applyNumberFormat="1" applyFont="1" applyBorder="1"/>
    <xf numFmtId="167" fontId="21" fillId="0" borderId="6" xfId="0" applyNumberFormat="1" applyFont="1" applyBorder="1" applyAlignment="1">
      <alignment horizontal="right"/>
    </xf>
    <xf numFmtId="167" fontId="40"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0" fontId="8" fillId="0" borderId="0" xfId="0" applyFont="1" applyAlignment="1">
      <alignment horizontal="center" vertical="center"/>
    </xf>
    <xf numFmtId="182" fontId="8" fillId="0" borderId="42" xfId="0" applyNumberFormat="1" applyFont="1" applyBorder="1"/>
    <xf numFmtId="0" fontId="8" fillId="0" borderId="83" xfId="0" applyFont="1" applyBorder="1"/>
    <xf numFmtId="200" fontId="8" fillId="0" borderId="84" xfId="0" applyNumberFormat="1" applyFont="1" applyBorder="1" applyAlignment="1">
      <alignment horizontal="center"/>
    </xf>
    <xf numFmtId="186" fontId="14" fillId="0" borderId="85" xfId="0" applyNumberFormat="1" applyFont="1" applyBorder="1" applyAlignment="1">
      <alignment horizontal="center" vertical="center"/>
    </xf>
    <xf numFmtId="186" fontId="14" fillId="0" borderId="0" xfId="0" applyNumberFormat="1" applyFont="1" applyAlignment="1">
      <alignment horizontal="center"/>
    </xf>
    <xf numFmtId="0" fontId="8" fillId="0" borderId="86" xfId="0" applyFont="1" applyBorder="1"/>
    <xf numFmtId="182" fontId="8" fillId="0" borderId="14" xfId="0" applyNumberFormat="1" applyFont="1" applyBorder="1"/>
    <xf numFmtId="186" fontId="8" fillId="0" borderId="86" xfId="0" applyNumberFormat="1" applyFont="1" applyBorder="1"/>
    <xf numFmtId="186" fontId="8" fillId="0" borderId="87" xfId="0" applyNumberFormat="1" applyFont="1" applyBorder="1" applyAlignment="1">
      <alignment horizontal="center" vertical="center"/>
    </xf>
    <xf numFmtId="186" fontId="8" fillId="0" borderId="0" xfId="0" applyNumberFormat="1" applyFont="1" applyAlignment="1">
      <alignment horizontal="center"/>
    </xf>
    <xf numFmtId="37" fontId="8" fillId="0" borderId="14" xfId="0" applyNumberFormat="1" applyFont="1" applyBorder="1"/>
    <xf numFmtId="0" fontId="8" fillId="0" borderId="88" xfId="0" applyFont="1" applyBorder="1"/>
    <xf numFmtId="186" fontId="8" fillId="0" borderId="89" xfId="0" applyNumberFormat="1" applyFont="1" applyBorder="1"/>
    <xf numFmtId="200" fontId="8" fillId="0" borderId="55" xfId="0" applyNumberFormat="1" applyFont="1" applyBorder="1" applyAlignment="1">
      <alignment horizontal="center"/>
    </xf>
    <xf numFmtId="186" fontId="8" fillId="0" borderId="90" xfId="0" applyNumberFormat="1" applyFont="1" applyBorder="1" applyAlignment="1">
      <alignment horizontal="center" vertical="center"/>
    </xf>
    <xf numFmtId="209" fontId="8" fillId="31" borderId="0" xfId="0" applyNumberFormat="1" applyFont="1" applyFill="1" applyAlignment="1">
      <alignment horizontal="center"/>
    </xf>
    <xf numFmtId="169" fontId="7" fillId="5" borderId="1" xfId="0" applyNumberFormat="1" applyFont="1" applyFill="1" applyBorder="1" applyAlignment="1">
      <alignment horizontal="center"/>
    </xf>
    <xf numFmtId="184" fontId="36" fillId="0" borderId="0" xfId="0" applyNumberFormat="1" applyFont="1" applyAlignment="1">
      <alignment horizontal="center"/>
    </xf>
    <xf numFmtId="209" fontId="14" fillId="31" borderId="0" xfId="0" applyNumberFormat="1" applyFont="1" applyFill="1" applyAlignment="1">
      <alignment horizontal="center"/>
    </xf>
    <xf numFmtId="184" fontId="53" fillId="0" borderId="0" xfId="0" applyNumberFormat="1" applyFont="1" applyAlignment="1">
      <alignment horizontal="center"/>
    </xf>
    <xf numFmtId="170" fontId="14" fillId="31" borderId="0" xfId="0" applyNumberFormat="1" applyFont="1" applyFill="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0"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209" fontId="14" fillId="5" borderId="0" xfId="0" applyNumberFormat="1" applyFont="1" applyFill="1" applyAlignment="1">
      <alignment horizontal="center"/>
    </xf>
    <xf numFmtId="170" fontId="14" fillId="5" borderId="0" xfId="0" applyNumberFormat="1" applyFont="1" applyFill="1" applyAlignment="1">
      <alignment horizontal="center"/>
    </xf>
    <xf numFmtId="0" fontId="8" fillId="0" borderId="0" xfId="0" applyFont="1" applyAlignment="1">
      <alignment horizontal="center" vertical="center" wrapText="1"/>
    </xf>
    <xf numFmtId="168" fontId="12" fillId="0" borderId="0" xfId="0" applyNumberFormat="1" applyFont="1"/>
    <xf numFmtId="200"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8" fillId="0" borderId="3" xfId="0" applyFont="1" applyBorder="1" applyAlignment="1">
      <alignment horizontal="center"/>
    </xf>
    <xf numFmtId="0" fontId="8" fillId="0" borderId="4" xfId="0" applyFont="1" applyBorder="1" applyAlignment="1">
      <alignment horizontal="center"/>
    </xf>
    <xf numFmtId="175" fontId="8" fillId="0" borderId="0" xfId="0" applyNumberFormat="1" applyFont="1"/>
    <xf numFmtId="0" fontId="8" fillId="0" borderId="31" xfId="0" applyFont="1" applyBorder="1"/>
    <xf numFmtId="167" fontId="39" fillId="0" borderId="0" xfId="0" applyNumberFormat="1" applyFont="1"/>
    <xf numFmtId="214" fontId="14" fillId="0" borderId="0" xfId="0" applyNumberFormat="1" applyFont="1"/>
    <xf numFmtId="0" fontId="8" fillId="0" borderId="35" xfId="0" applyFont="1" applyBorder="1"/>
    <xf numFmtId="215" fontId="39" fillId="0" borderId="0" xfId="0" applyNumberFormat="1" applyFont="1"/>
    <xf numFmtId="0" fontId="12" fillId="0" borderId="31" xfId="0" applyFont="1" applyBorder="1"/>
    <xf numFmtId="215" fontId="40" fillId="0" borderId="0" xfId="0" applyNumberFormat="1" applyFont="1"/>
    <xf numFmtId="215" fontId="21" fillId="0" borderId="0" xfId="0" applyNumberFormat="1" applyFont="1"/>
    <xf numFmtId="169" fontId="12" fillId="0" borderId="0" xfId="0" applyNumberFormat="1" applyFont="1"/>
    <xf numFmtId="0" fontId="12" fillId="0" borderId="0" xfId="0" applyFont="1" applyAlignment="1">
      <alignment horizontal="center"/>
    </xf>
    <xf numFmtId="168" fontId="14" fillId="0" borderId="0" xfId="0" applyNumberFormat="1" applyFont="1"/>
    <xf numFmtId="0" fontId="12" fillId="0" borderId="3" xfId="0" applyFont="1" applyBorder="1" applyAlignment="1">
      <alignment horizontal="center"/>
    </xf>
    <xf numFmtId="173" fontId="39" fillId="0" borderId="18" xfId="0" applyNumberFormat="1" applyFont="1" applyBorder="1"/>
    <xf numFmtId="173" fontId="39" fillId="0" borderId="0" xfId="0" applyNumberFormat="1" applyFont="1"/>
    <xf numFmtId="173" fontId="21"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8" fillId="0" borderId="0" xfId="0" applyNumberFormat="1" applyFont="1"/>
    <xf numFmtId="14" fontId="18" fillId="0" borderId="0" xfId="0" applyNumberFormat="1" applyFont="1"/>
    <xf numFmtId="14" fontId="14" fillId="0" borderId="0" xfId="0" applyNumberFormat="1" applyFont="1"/>
    <xf numFmtId="172" fontId="14" fillId="0" borderId="0" xfId="0" applyNumberFormat="1" applyFont="1"/>
    <xf numFmtId="0" fontId="54" fillId="0" borderId="0" xfId="0" applyFont="1"/>
    <xf numFmtId="0" fontId="55" fillId="0" borderId="0" xfId="0" applyFont="1" applyAlignment="1">
      <alignment horizontal="center"/>
    </xf>
    <xf numFmtId="0" fontId="32" fillId="32" borderId="0" xfId="0" applyFont="1" applyFill="1" applyAlignment="1">
      <alignment horizontal="center"/>
    </xf>
    <xf numFmtId="0" fontId="10" fillId="32" borderId="0" xfId="0" applyFont="1" applyFill="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74" fontId="8" fillId="0" borderId="42" xfId="0" applyNumberFormat="1" applyFont="1" applyBorder="1" applyAlignment="1">
      <alignment horizontal="center"/>
    </xf>
    <xf numFmtId="175" fontId="8" fillId="0" borderId="6" xfId="0" applyNumberFormat="1" applyFont="1" applyBorder="1" applyAlignment="1">
      <alignment horizontal="center"/>
    </xf>
    <xf numFmtId="175" fontId="8" fillId="0" borderId="14" xfId="0" applyNumberFormat="1" applyFont="1" applyBorder="1" applyAlignment="1">
      <alignment horizontal="center"/>
    </xf>
    <xf numFmtId="0" fontId="8" fillId="3" borderId="0" xfId="0" applyFont="1" applyFill="1" applyAlignment="1">
      <alignment horizontal="center"/>
    </xf>
    <xf numFmtId="0" fontId="56" fillId="0" borderId="0" xfId="0" applyFont="1"/>
    <xf numFmtId="215" fontId="12" fillId="0" borderId="0" xfId="0" applyNumberFormat="1" applyFont="1"/>
    <xf numFmtId="215" fontId="57" fillId="0" borderId="0" xfId="0" applyNumberFormat="1" applyFont="1"/>
    <xf numFmtId="215" fontId="8" fillId="0" borderId="0" xfId="0" applyNumberFormat="1" applyFont="1"/>
    <xf numFmtId="215" fontId="52" fillId="0" borderId="0" xfId="0" applyNumberFormat="1" applyFont="1"/>
    <xf numFmtId="0" fontId="52" fillId="0" borderId="0" xfId="0" applyFont="1" applyAlignment="1">
      <alignment horizontal="right"/>
    </xf>
    <xf numFmtId="218" fontId="12" fillId="0" borderId="0" xfId="0" applyNumberFormat="1" applyFont="1"/>
    <xf numFmtId="218" fontId="57" fillId="0" borderId="0" xfId="0" applyNumberFormat="1" applyFont="1"/>
    <xf numFmtId="218" fontId="8" fillId="0" borderId="0" xfId="0" applyNumberFormat="1" applyFont="1"/>
    <xf numFmtId="218" fontId="52" fillId="0" borderId="0" xfId="0" applyNumberFormat="1" applyFont="1"/>
    <xf numFmtId="186"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9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3" fontId="8" fillId="0" borderId="59" xfId="0" applyNumberFormat="1" applyFont="1" applyBorder="1" applyAlignment="1">
      <alignment horizontal="center"/>
    </xf>
    <xf numFmtId="171" fontId="12" fillId="0" borderId="0" xfId="0" applyNumberFormat="1" applyFont="1" applyAlignment="1">
      <alignment horizontal="center"/>
    </xf>
    <xf numFmtId="171" fontId="14" fillId="0" borderId="0" xfId="0" applyNumberFormat="1" applyFont="1" applyAlignment="1">
      <alignment horizontal="center"/>
    </xf>
    <xf numFmtId="173" fontId="39" fillId="0" borderId="0" xfId="0" applyNumberFormat="1" applyFont="1" applyAlignment="1">
      <alignment horizontal="center"/>
    </xf>
    <xf numFmtId="173" fontId="40" fillId="0" borderId="0" xfId="0" applyNumberFormat="1" applyFont="1" applyAlignment="1">
      <alignment horizontal="center"/>
    </xf>
    <xf numFmtId="203" fontId="21" fillId="0" borderId="59" xfId="0" applyNumberFormat="1" applyFont="1" applyBorder="1" applyAlignment="1">
      <alignment horizontal="center"/>
    </xf>
    <xf numFmtId="203" fontId="21" fillId="0" borderId="0" xfId="0" applyNumberFormat="1" applyFont="1" applyAlignment="1">
      <alignment horizontal="center"/>
    </xf>
    <xf numFmtId="173" fontId="21"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1" fontId="12" fillId="0" borderId="61" xfId="0" applyNumberFormat="1" applyFont="1" applyBorder="1" applyAlignment="1">
      <alignment horizontal="center"/>
    </xf>
    <xf numFmtId="171" fontId="14" fillId="0" borderId="61" xfId="0" applyNumberFormat="1" applyFont="1" applyBorder="1" applyAlignment="1">
      <alignment horizontal="center"/>
    </xf>
    <xf numFmtId="203"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8" fillId="0" borderId="0" xfId="0" applyFont="1" applyAlignment="1">
      <alignment horizontal="center"/>
    </xf>
    <xf numFmtId="203" fontId="8" fillId="0" borderId="36" xfId="0" applyNumberFormat="1" applyFont="1" applyBorder="1" applyAlignment="1">
      <alignment horizontal="center"/>
    </xf>
    <xf numFmtId="203" fontId="8" fillId="0" borderId="37" xfId="0" applyNumberFormat="1" applyFont="1" applyBorder="1" applyAlignment="1">
      <alignment horizontal="center"/>
    </xf>
    <xf numFmtId="0" fontId="59" fillId="0" borderId="0" xfId="0" applyFont="1"/>
  </cellXfs>
  <cellStyles count="1">
    <cellStyle name="Normal" xfId="0" builtinId="0"/>
  </cellStyles>
  <dxfs count="149">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6.xml"/><Relationship Id="rId19" Type="http://schemas.openxmlformats.org/officeDocument/2006/relationships/worksheet" Target="worksheets/sheet15.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92661</xdr:colOff>
      <xdr:row>5</xdr:row>
      <xdr:rowOff>11902</xdr:rowOff>
    </xdr:from>
    <xdr:to>
      <xdr:col>5</xdr:col>
      <xdr:colOff>351476</xdr:colOff>
      <xdr:row>17</xdr:row>
      <xdr:rowOff>23332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74" customFormat="1" x14ac:dyDescent="0.25">
      <c r="A1" s="974" t="s">
        <v>1168</v>
      </c>
      <c r="B1" s="974" t="s">
        <v>1169</v>
      </c>
      <c r="C1" s="974" t="s">
        <v>1170</v>
      </c>
      <c r="D1" s="974" t="s">
        <v>1171</v>
      </c>
      <c r="E1" s="974" t="s">
        <v>1172</v>
      </c>
      <c r="F1" s="974" t="s">
        <v>1173</v>
      </c>
      <c r="G1" s="974" t="s">
        <v>1174</v>
      </c>
      <c r="H1" s="974" t="s">
        <v>1175</v>
      </c>
      <c r="I1" s="974" t="s">
        <v>1176</v>
      </c>
      <c r="J1" s="974" t="s">
        <v>1177</v>
      </c>
      <c r="K1" s="974" t="s">
        <v>1178</v>
      </c>
      <c r="L1" s="974" t="s">
        <v>1179</v>
      </c>
      <c r="M1" s="974" t="s">
        <v>1180</v>
      </c>
      <c r="N1" s="974" t="s">
        <v>1181</v>
      </c>
      <c r="O1" s="974" t="s">
        <v>1182</v>
      </c>
      <c r="P1" s="974" t="s">
        <v>1183</v>
      </c>
      <c r="Q1" s="974" t="s">
        <v>1184</v>
      </c>
    </row>
    <row r="2" spans="1:17" x14ac:dyDescent="0.25">
      <c r="A2" t="s">
        <v>39</v>
      </c>
      <c r="B2" t="s">
        <v>1185</v>
      </c>
      <c r="C2" t="s">
        <v>376</v>
      </c>
      <c r="D2" t="s">
        <v>1137</v>
      </c>
      <c r="E2">
        <v>0</v>
      </c>
      <c r="F2" t="s">
        <v>1186</v>
      </c>
      <c r="G2" t="s">
        <v>1187</v>
      </c>
      <c r="H2" t="s">
        <v>1188</v>
      </c>
      <c r="I2" t="s">
        <v>1187</v>
      </c>
      <c r="J2" t="s">
        <v>1187</v>
      </c>
      <c r="K2" t="b">
        <v>1</v>
      </c>
      <c r="L2" t="b">
        <v>0</v>
      </c>
      <c r="M2" t="s">
        <v>1187</v>
      </c>
      <c r="N2" t="s">
        <v>1189</v>
      </c>
      <c r="O2" t="s">
        <v>1190</v>
      </c>
      <c r="P2" t="s">
        <v>1191</v>
      </c>
      <c r="Q2" t="s">
        <v>1192</v>
      </c>
    </row>
    <row r="3" spans="1:17" x14ac:dyDescent="0.25">
      <c r="A3" t="s">
        <v>39</v>
      </c>
      <c r="B3" t="s">
        <v>1193</v>
      </c>
      <c r="C3" t="s">
        <v>376</v>
      </c>
      <c r="D3" t="s">
        <v>1138</v>
      </c>
      <c r="E3">
        <v>0</v>
      </c>
      <c r="F3" t="s">
        <v>1186</v>
      </c>
      <c r="G3" t="s">
        <v>1187</v>
      </c>
      <c r="H3" t="s">
        <v>1188</v>
      </c>
      <c r="I3" t="s">
        <v>1187</v>
      </c>
      <c r="J3" t="s">
        <v>1187</v>
      </c>
      <c r="K3" t="b">
        <v>1</v>
      </c>
      <c r="L3" t="b">
        <v>0</v>
      </c>
      <c r="M3" t="s">
        <v>1187</v>
      </c>
      <c r="N3" t="s">
        <v>1189</v>
      </c>
      <c r="O3" t="s">
        <v>1190</v>
      </c>
      <c r="P3" t="s">
        <v>1191</v>
      </c>
      <c r="Q3" t="s">
        <v>1192</v>
      </c>
    </row>
    <row r="4" spans="1:17" x14ac:dyDescent="0.25">
      <c r="A4" t="s">
        <v>39</v>
      </c>
      <c r="B4" t="s">
        <v>1194</v>
      </c>
      <c r="C4" t="s">
        <v>376</v>
      </c>
      <c r="D4" t="s">
        <v>1139</v>
      </c>
      <c r="E4">
        <v>0</v>
      </c>
      <c r="F4" t="s">
        <v>1186</v>
      </c>
      <c r="G4" t="s">
        <v>1187</v>
      </c>
      <c r="H4" t="s">
        <v>1188</v>
      </c>
      <c r="I4" t="s">
        <v>1187</v>
      </c>
      <c r="J4" t="s">
        <v>1187</v>
      </c>
      <c r="K4" t="b">
        <v>1</v>
      </c>
      <c r="L4" t="b">
        <v>0</v>
      </c>
      <c r="M4" t="s">
        <v>1187</v>
      </c>
      <c r="N4" t="s">
        <v>1189</v>
      </c>
      <c r="O4" t="s">
        <v>1190</v>
      </c>
      <c r="P4" t="s">
        <v>1191</v>
      </c>
      <c r="Q4" t="s">
        <v>1192</v>
      </c>
    </row>
    <row r="5" spans="1:17" x14ac:dyDescent="0.25">
      <c r="A5" t="s">
        <v>39</v>
      </c>
      <c r="B5" t="s">
        <v>1195</v>
      </c>
      <c r="C5" t="s">
        <v>376</v>
      </c>
      <c r="D5" t="s">
        <v>1140</v>
      </c>
      <c r="E5">
        <v>0</v>
      </c>
      <c r="F5" t="s">
        <v>1186</v>
      </c>
      <c r="G5" t="s">
        <v>1187</v>
      </c>
      <c r="H5" t="s">
        <v>1188</v>
      </c>
      <c r="I5" t="s">
        <v>1187</v>
      </c>
      <c r="J5" t="s">
        <v>1187</v>
      </c>
      <c r="K5" t="b">
        <v>1</v>
      </c>
      <c r="L5" t="b">
        <v>0</v>
      </c>
      <c r="M5" t="s">
        <v>1187</v>
      </c>
      <c r="N5" t="s">
        <v>1189</v>
      </c>
      <c r="O5" t="s">
        <v>1190</v>
      </c>
      <c r="P5" t="s">
        <v>1191</v>
      </c>
      <c r="Q5" t="s">
        <v>1192</v>
      </c>
    </row>
    <row r="6" spans="1:17" x14ac:dyDescent="0.25">
      <c r="A6" t="s">
        <v>39</v>
      </c>
      <c r="B6" t="s">
        <v>1196</v>
      </c>
      <c r="C6" t="s">
        <v>267</v>
      </c>
      <c r="D6" t="s">
        <v>1137</v>
      </c>
      <c r="E6">
        <v>-2169.5</v>
      </c>
      <c r="F6" t="s">
        <v>1197</v>
      </c>
      <c r="G6" t="s">
        <v>1198</v>
      </c>
      <c r="H6" t="s">
        <v>1188</v>
      </c>
      <c r="I6" t="s">
        <v>1199</v>
      </c>
      <c r="J6" t="s">
        <v>1187</v>
      </c>
      <c r="K6" t="b">
        <v>1</v>
      </c>
      <c r="L6" t="b">
        <v>0</v>
      </c>
      <c r="M6" t="s">
        <v>1187</v>
      </c>
      <c r="N6" t="s">
        <v>1200</v>
      </c>
      <c r="O6" t="s">
        <v>1190</v>
      </c>
      <c r="P6" t="s">
        <v>1201</v>
      </c>
      <c r="Q6" t="s">
        <v>1202</v>
      </c>
    </row>
    <row r="7" spans="1:17" x14ac:dyDescent="0.25">
      <c r="A7" t="s">
        <v>39</v>
      </c>
      <c r="B7" t="s">
        <v>1203</v>
      </c>
      <c r="C7" t="s">
        <v>267</v>
      </c>
      <c r="D7" t="s">
        <v>1138</v>
      </c>
      <c r="E7">
        <v>-2224.4</v>
      </c>
      <c r="F7" t="s">
        <v>1197</v>
      </c>
      <c r="G7" t="s">
        <v>1204</v>
      </c>
      <c r="H7" t="s">
        <v>1188</v>
      </c>
      <c r="I7" t="s">
        <v>1205</v>
      </c>
      <c r="J7" t="s">
        <v>1187</v>
      </c>
      <c r="K7" t="b">
        <v>1</v>
      </c>
      <c r="L7" t="b">
        <v>0</v>
      </c>
      <c r="M7" t="s">
        <v>1187</v>
      </c>
      <c r="N7" t="s">
        <v>1200</v>
      </c>
      <c r="O7" t="s">
        <v>1190</v>
      </c>
      <c r="P7" t="s">
        <v>1201</v>
      </c>
      <c r="Q7" t="s">
        <v>1202</v>
      </c>
    </row>
    <row r="8" spans="1:17" x14ac:dyDescent="0.25">
      <c r="A8" t="s">
        <v>39</v>
      </c>
      <c r="B8" t="s">
        <v>1206</v>
      </c>
      <c r="C8" t="s">
        <v>267</v>
      </c>
      <c r="D8" t="s">
        <v>1139</v>
      </c>
      <c r="E8">
        <v>-2284.3</v>
      </c>
      <c r="F8" t="s">
        <v>1197</v>
      </c>
      <c r="G8" t="s">
        <v>1207</v>
      </c>
      <c r="H8" t="s">
        <v>1188</v>
      </c>
      <c r="I8" t="s">
        <v>1208</v>
      </c>
      <c r="J8" t="s">
        <v>1187</v>
      </c>
      <c r="K8" t="b">
        <v>1</v>
      </c>
      <c r="L8" t="b">
        <v>0</v>
      </c>
      <c r="M8" t="s">
        <v>1187</v>
      </c>
      <c r="N8" t="s">
        <v>1200</v>
      </c>
      <c r="O8" t="s">
        <v>1190</v>
      </c>
      <c r="P8" t="s">
        <v>1201</v>
      </c>
      <c r="Q8" t="s">
        <v>1202</v>
      </c>
    </row>
    <row r="9" spans="1:17" x14ac:dyDescent="0.25">
      <c r="A9" t="s">
        <v>39</v>
      </c>
      <c r="B9" t="s">
        <v>1209</v>
      </c>
      <c r="C9" t="s">
        <v>267</v>
      </c>
      <c r="D9" t="s">
        <v>1140</v>
      </c>
      <c r="E9">
        <v>-2265</v>
      </c>
      <c r="F9" t="s">
        <v>1197</v>
      </c>
      <c r="G9" t="s">
        <v>1210</v>
      </c>
      <c r="H9" t="s">
        <v>1188</v>
      </c>
      <c r="I9" t="s">
        <v>1187</v>
      </c>
      <c r="J9" t="s">
        <v>1187</v>
      </c>
      <c r="K9" t="b">
        <v>1</v>
      </c>
      <c r="L9" t="b">
        <v>0</v>
      </c>
      <c r="M9" t="s">
        <v>1187</v>
      </c>
      <c r="N9" t="s">
        <v>1200</v>
      </c>
      <c r="O9" t="s">
        <v>1190</v>
      </c>
      <c r="P9" t="s">
        <v>1201</v>
      </c>
      <c r="Q9" t="s">
        <v>1211</v>
      </c>
    </row>
    <row r="10" spans="1:17" x14ac:dyDescent="0.25">
      <c r="A10" t="s">
        <v>39</v>
      </c>
      <c r="B10" t="s">
        <v>1212</v>
      </c>
      <c r="C10" t="s">
        <v>267</v>
      </c>
      <c r="D10" t="s">
        <v>1141</v>
      </c>
      <c r="E10">
        <v>-2283</v>
      </c>
      <c r="F10" t="s">
        <v>1197</v>
      </c>
      <c r="G10" t="s">
        <v>1213</v>
      </c>
      <c r="H10" t="s">
        <v>1188</v>
      </c>
      <c r="I10" t="s">
        <v>1214</v>
      </c>
      <c r="J10" t="s">
        <v>1187</v>
      </c>
      <c r="K10" t="b">
        <v>1</v>
      </c>
      <c r="L10" t="b">
        <v>0</v>
      </c>
      <c r="M10" t="s">
        <v>1187</v>
      </c>
      <c r="N10" t="s">
        <v>1200</v>
      </c>
      <c r="O10" t="s">
        <v>1190</v>
      </c>
      <c r="P10" t="s">
        <v>1201</v>
      </c>
      <c r="Q10" t="s">
        <v>1202</v>
      </c>
    </row>
    <row r="11" spans="1:17" x14ac:dyDescent="0.25">
      <c r="A11" t="s">
        <v>39</v>
      </c>
      <c r="B11" t="s">
        <v>1215</v>
      </c>
      <c r="C11" t="s">
        <v>267</v>
      </c>
      <c r="D11" t="s">
        <v>1142</v>
      </c>
      <c r="E11">
        <v>-2383</v>
      </c>
      <c r="F11" t="s">
        <v>1197</v>
      </c>
      <c r="G11" t="s">
        <v>1216</v>
      </c>
      <c r="H11" t="s">
        <v>1188</v>
      </c>
      <c r="I11" t="s">
        <v>1217</v>
      </c>
      <c r="J11" t="s">
        <v>1187</v>
      </c>
      <c r="K11" t="b">
        <v>1</v>
      </c>
      <c r="L11" t="b">
        <v>0</v>
      </c>
      <c r="M11" t="s">
        <v>1187</v>
      </c>
      <c r="N11" t="s">
        <v>1200</v>
      </c>
      <c r="O11" t="s">
        <v>1190</v>
      </c>
      <c r="P11" t="s">
        <v>1201</v>
      </c>
      <c r="Q11" t="s">
        <v>1202</v>
      </c>
    </row>
    <row r="12" spans="1:17" x14ac:dyDescent="0.25">
      <c r="A12" t="s">
        <v>39</v>
      </c>
      <c r="B12" t="s">
        <v>1218</v>
      </c>
      <c r="C12" t="s">
        <v>267</v>
      </c>
      <c r="D12" t="s">
        <v>1143</v>
      </c>
      <c r="E12">
        <v>-2367</v>
      </c>
      <c r="F12" t="s">
        <v>1197</v>
      </c>
      <c r="G12" t="s">
        <v>1219</v>
      </c>
      <c r="H12" t="s">
        <v>1188</v>
      </c>
      <c r="I12" t="s">
        <v>1220</v>
      </c>
      <c r="J12" t="s">
        <v>1187</v>
      </c>
      <c r="K12" t="b">
        <v>1</v>
      </c>
      <c r="L12" t="b">
        <v>0</v>
      </c>
      <c r="M12" t="s">
        <v>1187</v>
      </c>
      <c r="N12" t="s">
        <v>1200</v>
      </c>
      <c r="O12" t="s">
        <v>1190</v>
      </c>
      <c r="P12" t="s">
        <v>1201</v>
      </c>
      <c r="Q12" t="s">
        <v>1202</v>
      </c>
    </row>
    <row r="13" spans="1:17" x14ac:dyDescent="0.25">
      <c r="A13" t="s">
        <v>39</v>
      </c>
      <c r="B13" t="s">
        <v>1221</v>
      </c>
      <c r="C13" t="s">
        <v>267</v>
      </c>
      <c r="D13" t="s">
        <v>1144</v>
      </c>
      <c r="E13">
        <v>-2317</v>
      </c>
      <c r="F13" t="s">
        <v>1197</v>
      </c>
      <c r="G13" t="s">
        <v>1222</v>
      </c>
      <c r="H13" t="s">
        <v>1188</v>
      </c>
      <c r="I13" t="s">
        <v>1187</v>
      </c>
      <c r="J13" t="s">
        <v>1187</v>
      </c>
      <c r="K13" t="b">
        <v>1</v>
      </c>
      <c r="L13" t="b">
        <v>0</v>
      </c>
      <c r="M13" t="s">
        <v>1187</v>
      </c>
      <c r="N13" t="s">
        <v>1200</v>
      </c>
      <c r="O13" t="s">
        <v>1190</v>
      </c>
      <c r="P13" t="s">
        <v>1201</v>
      </c>
      <c r="Q13" t="s">
        <v>1223</v>
      </c>
    </row>
    <row r="14" spans="1:17" x14ac:dyDescent="0.25">
      <c r="A14" t="s">
        <v>39</v>
      </c>
      <c r="B14" t="s">
        <v>1224</v>
      </c>
      <c r="C14" t="s">
        <v>267</v>
      </c>
      <c r="D14" t="s">
        <v>1145</v>
      </c>
      <c r="E14">
        <v>-2314</v>
      </c>
      <c r="F14" t="s">
        <v>1197</v>
      </c>
      <c r="G14" t="s">
        <v>1225</v>
      </c>
      <c r="H14" t="s">
        <v>1188</v>
      </c>
      <c r="I14" t="s">
        <v>1226</v>
      </c>
      <c r="J14" t="s">
        <v>1187</v>
      </c>
      <c r="K14" t="b">
        <v>1</v>
      </c>
      <c r="L14" t="b">
        <v>0</v>
      </c>
      <c r="M14" t="s">
        <v>1187</v>
      </c>
      <c r="N14" t="s">
        <v>1200</v>
      </c>
      <c r="O14" t="s">
        <v>1190</v>
      </c>
      <c r="P14" t="s">
        <v>1201</v>
      </c>
      <c r="Q14" t="s">
        <v>1202</v>
      </c>
    </row>
    <row r="15" spans="1:17" x14ac:dyDescent="0.25">
      <c r="A15" t="s">
        <v>39</v>
      </c>
      <c r="B15" t="s">
        <v>1227</v>
      </c>
      <c r="C15" t="s">
        <v>267</v>
      </c>
      <c r="D15" t="s">
        <v>1146</v>
      </c>
      <c r="E15">
        <v>-2449</v>
      </c>
      <c r="F15" t="s">
        <v>1197</v>
      </c>
      <c r="G15" t="s">
        <v>1228</v>
      </c>
      <c r="H15" t="s">
        <v>1188</v>
      </c>
      <c r="I15" t="s">
        <v>1217</v>
      </c>
      <c r="J15" t="s">
        <v>1187</v>
      </c>
      <c r="K15" t="b">
        <v>1</v>
      </c>
      <c r="L15" t="b">
        <v>0</v>
      </c>
      <c r="M15" t="s">
        <v>1187</v>
      </c>
      <c r="N15" t="s">
        <v>1200</v>
      </c>
      <c r="O15" t="s">
        <v>1190</v>
      </c>
      <c r="P15" t="s">
        <v>1201</v>
      </c>
      <c r="Q15" t="s">
        <v>1202</v>
      </c>
    </row>
    <row r="16" spans="1:17" x14ac:dyDescent="0.25">
      <c r="A16" t="s">
        <v>39</v>
      </c>
      <c r="B16" t="s">
        <v>1229</v>
      </c>
      <c r="C16" t="s">
        <v>267</v>
      </c>
      <c r="D16" t="s">
        <v>1147</v>
      </c>
      <c r="E16">
        <v>-2463</v>
      </c>
      <c r="F16" t="s">
        <v>1197</v>
      </c>
      <c r="G16" t="s">
        <v>1230</v>
      </c>
      <c r="H16" t="s">
        <v>1188</v>
      </c>
      <c r="I16" t="s">
        <v>1220</v>
      </c>
      <c r="J16" t="s">
        <v>1187</v>
      </c>
      <c r="K16" t="b">
        <v>1</v>
      </c>
      <c r="L16" t="b">
        <v>0</v>
      </c>
      <c r="M16" t="s">
        <v>1187</v>
      </c>
      <c r="N16" t="s">
        <v>1200</v>
      </c>
      <c r="O16" t="s">
        <v>1190</v>
      </c>
      <c r="P16" t="s">
        <v>1201</v>
      </c>
      <c r="Q16" t="s">
        <v>1202</v>
      </c>
    </row>
    <row r="17" spans="1:17" x14ac:dyDescent="0.25">
      <c r="A17" t="s">
        <v>39</v>
      </c>
      <c r="B17" t="s">
        <v>1231</v>
      </c>
      <c r="C17" t="s">
        <v>267</v>
      </c>
      <c r="D17" t="s">
        <v>1232</v>
      </c>
      <c r="E17">
        <v>-2404</v>
      </c>
      <c r="F17" t="s">
        <v>1197</v>
      </c>
      <c r="G17" t="s">
        <v>1233</v>
      </c>
      <c r="H17" t="s">
        <v>1188</v>
      </c>
      <c r="I17" t="s">
        <v>1187</v>
      </c>
      <c r="J17" t="s">
        <v>1187</v>
      </c>
      <c r="K17" t="b">
        <v>1</v>
      </c>
      <c r="L17" t="b">
        <v>0</v>
      </c>
      <c r="M17" t="s">
        <v>1187</v>
      </c>
      <c r="N17" t="s">
        <v>1200</v>
      </c>
      <c r="O17" t="s">
        <v>1190</v>
      </c>
      <c r="P17" t="s">
        <v>1201</v>
      </c>
      <c r="Q17" t="s">
        <v>1234</v>
      </c>
    </row>
    <row r="18" spans="1:17" x14ac:dyDescent="0.25">
      <c r="A18" t="s">
        <v>39</v>
      </c>
      <c r="B18" t="s">
        <v>1235</v>
      </c>
      <c r="C18" t="s">
        <v>269</v>
      </c>
      <c r="D18" t="s">
        <v>1137</v>
      </c>
      <c r="E18">
        <v>-379.2</v>
      </c>
      <c r="F18" t="s">
        <v>1197</v>
      </c>
      <c r="G18" t="s">
        <v>1236</v>
      </c>
      <c r="H18" t="s">
        <v>1188</v>
      </c>
      <c r="I18" t="s">
        <v>1199</v>
      </c>
      <c r="J18" t="s">
        <v>1187</v>
      </c>
      <c r="K18" t="b">
        <v>1</v>
      </c>
      <c r="L18" t="b">
        <v>0</v>
      </c>
      <c r="M18" t="s">
        <v>1187</v>
      </c>
      <c r="N18" t="s">
        <v>1200</v>
      </c>
      <c r="O18" t="s">
        <v>1190</v>
      </c>
      <c r="P18" t="s">
        <v>1201</v>
      </c>
      <c r="Q18" t="s">
        <v>1187</v>
      </c>
    </row>
    <row r="19" spans="1:17" x14ac:dyDescent="0.25">
      <c r="A19" t="s">
        <v>39</v>
      </c>
      <c r="B19" t="s">
        <v>1237</v>
      </c>
      <c r="C19" t="s">
        <v>269</v>
      </c>
      <c r="D19" t="s">
        <v>1138</v>
      </c>
      <c r="E19">
        <v>-396</v>
      </c>
      <c r="F19" t="s">
        <v>1197</v>
      </c>
      <c r="G19" t="s">
        <v>1238</v>
      </c>
      <c r="H19" t="s">
        <v>1188</v>
      </c>
      <c r="I19" t="s">
        <v>1205</v>
      </c>
      <c r="J19" t="s">
        <v>1187</v>
      </c>
      <c r="K19" t="b">
        <v>1</v>
      </c>
      <c r="L19" t="b">
        <v>0</v>
      </c>
      <c r="M19" t="s">
        <v>1187</v>
      </c>
      <c r="N19" t="s">
        <v>1200</v>
      </c>
      <c r="O19" t="s">
        <v>1190</v>
      </c>
      <c r="P19" t="s">
        <v>1201</v>
      </c>
      <c r="Q19" t="s">
        <v>1187</v>
      </c>
    </row>
    <row r="20" spans="1:17" x14ac:dyDescent="0.25">
      <c r="A20" t="s">
        <v>39</v>
      </c>
      <c r="B20" t="s">
        <v>1239</v>
      </c>
      <c r="C20" t="s">
        <v>269</v>
      </c>
      <c r="D20" t="s">
        <v>1139</v>
      </c>
      <c r="E20">
        <v>-402.1</v>
      </c>
      <c r="F20" t="s">
        <v>1197</v>
      </c>
      <c r="G20" t="s">
        <v>1240</v>
      </c>
      <c r="H20" t="s">
        <v>1188</v>
      </c>
      <c r="I20" t="s">
        <v>1208</v>
      </c>
      <c r="J20" t="s">
        <v>1187</v>
      </c>
      <c r="K20" t="b">
        <v>1</v>
      </c>
      <c r="L20" t="b">
        <v>0</v>
      </c>
      <c r="M20" t="s">
        <v>1187</v>
      </c>
      <c r="N20" t="s">
        <v>1200</v>
      </c>
      <c r="O20" t="s">
        <v>1190</v>
      </c>
      <c r="P20" t="s">
        <v>1201</v>
      </c>
      <c r="Q20" t="s">
        <v>1187</v>
      </c>
    </row>
    <row r="21" spans="1:17" x14ac:dyDescent="0.25">
      <c r="A21" t="s">
        <v>39</v>
      </c>
      <c r="B21" t="s">
        <v>1241</v>
      </c>
      <c r="C21" t="s">
        <v>269</v>
      </c>
      <c r="D21" t="s">
        <v>1140</v>
      </c>
      <c r="E21">
        <v>-431.7</v>
      </c>
      <c r="F21" t="s">
        <v>1197</v>
      </c>
      <c r="G21" t="s">
        <v>1242</v>
      </c>
      <c r="H21" t="s">
        <v>1188</v>
      </c>
      <c r="I21" t="s">
        <v>1187</v>
      </c>
      <c r="J21" t="s">
        <v>1187</v>
      </c>
      <c r="K21" t="b">
        <v>1</v>
      </c>
      <c r="L21" t="b">
        <v>0</v>
      </c>
      <c r="M21" t="s">
        <v>1187</v>
      </c>
      <c r="N21" t="s">
        <v>1200</v>
      </c>
      <c r="O21" t="s">
        <v>1190</v>
      </c>
      <c r="P21" t="s">
        <v>1201</v>
      </c>
      <c r="Q21" t="s">
        <v>1243</v>
      </c>
    </row>
    <row r="22" spans="1:17" x14ac:dyDescent="0.25">
      <c r="A22" t="s">
        <v>39</v>
      </c>
      <c r="B22" t="s">
        <v>1244</v>
      </c>
      <c r="C22" t="s">
        <v>269</v>
      </c>
      <c r="D22" t="s">
        <v>1141</v>
      </c>
      <c r="E22">
        <v>-414</v>
      </c>
      <c r="F22" t="s">
        <v>1197</v>
      </c>
      <c r="G22" t="s">
        <v>1245</v>
      </c>
      <c r="H22" t="s">
        <v>1188</v>
      </c>
      <c r="I22" t="s">
        <v>1214</v>
      </c>
      <c r="J22" t="s">
        <v>1187</v>
      </c>
      <c r="K22" t="b">
        <v>1</v>
      </c>
      <c r="L22" t="b">
        <v>0</v>
      </c>
      <c r="M22" t="s">
        <v>1187</v>
      </c>
      <c r="N22" t="s">
        <v>1200</v>
      </c>
      <c r="O22" t="s">
        <v>1190</v>
      </c>
      <c r="P22" t="s">
        <v>1201</v>
      </c>
      <c r="Q22" t="s">
        <v>1187</v>
      </c>
    </row>
    <row r="23" spans="1:17" x14ac:dyDescent="0.25">
      <c r="A23" t="s">
        <v>39</v>
      </c>
      <c r="B23" t="s">
        <v>1246</v>
      </c>
      <c r="C23" t="s">
        <v>269</v>
      </c>
      <c r="D23" t="s">
        <v>1142</v>
      </c>
      <c r="E23">
        <v>-407</v>
      </c>
      <c r="F23" t="s">
        <v>1197</v>
      </c>
      <c r="G23" t="s">
        <v>1247</v>
      </c>
      <c r="H23" t="s">
        <v>1188</v>
      </c>
      <c r="I23" t="s">
        <v>1217</v>
      </c>
      <c r="J23" t="s">
        <v>1187</v>
      </c>
      <c r="K23" t="b">
        <v>1</v>
      </c>
      <c r="L23" t="b">
        <v>0</v>
      </c>
      <c r="M23" t="s">
        <v>1187</v>
      </c>
      <c r="N23" t="s">
        <v>1200</v>
      </c>
      <c r="O23" t="s">
        <v>1190</v>
      </c>
      <c r="P23" t="s">
        <v>1201</v>
      </c>
      <c r="Q23" t="s">
        <v>1187</v>
      </c>
    </row>
    <row r="24" spans="1:17" x14ac:dyDescent="0.25">
      <c r="A24" t="s">
        <v>39</v>
      </c>
      <c r="B24" t="s">
        <v>1248</v>
      </c>
      <c r="C24" t="s">
        <v>269</v>
      </c>
      <c r="D24" t="s">
        <v>1143</v>
      </c>
      <c r="E24">
        <v>-406</v>
      </c>
      <c r="F24" t="s">
        <v>1197</v>
      </c>
      <c r="G24" t="s">
        <v>1249</v>
      </c>
      <c r="H24" t="s">
        <v>1188</v>
      </c>
      <c r="I24" t="s">
        <v>1220</v>
      </c>
      <c r="J24" t="s">
        <v>1187</v>
      </c>
      <c r="K24" t="b">
        <v>1</v>
      </c>
      <c r="L24" t="b">
        <v>0</v>
      </c>
      <c r="M24" t="s">
        <v>1187</v>
      </c>
      <c r="N24" t="s">
        <v>1200</v>
      </c>
      <c r="O24" t="s">
        <v>1190</v>
      </c>
      <c r="P24" t="s">
        <v>1201</v>
      </c>
      <c r="Q24" t="s">
        <v>1187</v>
      </c>
    </row>
    <row r="25" spans="1:17" x14ac:dyDescent="0.25">
      <c r="A25" t="s">
        <v>39</v>
      </c>
      <c r="B25" t="s">
        <v>1250</v>
      </c>
      <c r="C25" t="s">
        <v>269</v>
      </c>
      <c r="D25" t="s">
        <v>1144</v>
      </c>
      <c r="E25">
        <v>-447</v>
      </c>
      <c r="F25" t="s">
        <v>1197</v>
      </c>
      <c r="G25" t="s">
        <v>1251</v>
      </c>
      <c r="H25" t="s">
        <v>1188</v>
      </c>
      <c r="I25" t="s">
        <v>1187</v>
      </c>
      <c r="J25" t="s">
        <v>1187</v>
      </c>
      <c r="K25" t="b">
        <v>1</v>
      </c>
      <c r="L25" t="b">
        <v>0</v>
      </c>
      <c r="M25" t="s">
        <v>1187</v>
      </c>
      <c r="N25" t="s">
        <v>1200</v>
      </c>
      <c r="O25" t="s">
        <v>1190</v>
      </c>
      <c r="P25" t="s">
        <v>1201</v>
      </c>
      <c r="Q25" t="s">
        <v>1252</v>
      </c>
    </row>
    <row r="26" spans="1:17" x14ac:dyDescent="0.25">
      <c r="A26" t="s">
        <v>39</v>
      </c>
      <c r="B26" t="s">
        <v>1253</v>
      </c>
      <c r="C26" t="s">
        <v>269</v>
      </c>
      <c r="D26" t="s">
        <v>1145</v>
      </c>
      <c r="E26">
        <v>-427</v>
      </c>
      <c r="F26" t="s">
        <v>1197</v>
      </c>
      <c r="G26" t="s">
        <v>1254</v>
      </c>
      <c r="H26" t="s">
        <v>1188</v>
      </c>
      <c r="I26" t="s">
        <v>1226</v>
      </c>
      <c r="J26" t="s">
        <v>1187</v>
      </c>
      <c r="K26" t="b">
        <v>1</v>
      </c>
      <c r="L26" t="b">
        <v>0</v>
      </c>
      <c r="M26" t="s">
        <v>1187</v>
      </c>
      <c r="N26" t="s">
        <v>1200</v>
      </c>
      <c r="O26" t="s">
        <v>1190</v>
      </c>
      <c r="P26" t="s">
        <v>1201</v>
      </c>
      <c r="Q26" t="s">
        <v>1187</v>
      </c>
    </row>
    <row r="27" spans="1:17" x14ac:dyDescent="0.25">
      <c r="A27" t="s">
        <v>39</v>
      </c>
      <c r="B27" t="s">
        <v>1255</v>
      </c>
      <c r="C27" t="s">
        <v>269</v>
      </c>
      <c r="D27" t="s">
        <v>1146</v>
      </c>
      <c r="E27">
        <v>-425</v>
      </c>
      <c r="F27" t="s">
        <v>1197</v>
      </c>
      <c r="G27" t="s">
        <v>1256</v>
      </c>
      <c r="H27" t="s">
        <v>1188</v>
      </c>
      <c r="I27" t="s">
        <v>1217</v>
      </c>
      <c r="J27" t="s">
        <v>1187</v>
      </c>
      <c r="K27" t="b">
        <v>1</v>
      </c>
      <c r="L27" t="b">
        <v>0</v>
      </c>
      <c r="M27" t="s">
        <v>1187</v>
      </c>
      <c r="N27" t="s">
        <v>1200</v>
      </c>
      <c r="O27" t="s">
        <v>1190</v>
      </c>
      <c r="P27" t="s">
        <v>1201</v>
      </c>
      <c r="Q27" t="s">
        <v>1187</v>
      </c>
    </row>
    <row r="28" spans="1:17" x14ac:dyDescent="0.25">
      <c r="A28" t="s">
        <v>39</v>
      </c>
      <c r="B28" t="s">
        <v>1257</v>
      </c>
      <c r="C28" t="s">
        <v>269</v>
      </c>
      <c r="D28" t="s">
        <v>1147</v>
      </c>
      <c r="E28">
        <v>-422</v>
      </c>
      <c r="F28" t="s">
        <v>1197</v>
      </c>
      <c r="G28" t="s">
        <v>1258</v>
      </c>
      <c r="H28" t="s">
        <v>1188</v>
      </c>
      <c r="I28" t="s">
        <v>1220</v>
      </c>
      <c r="J28" t="s">
        <v>1187</v>
      </c>
      <c r="K28" t="b">
        <v>1</v>
      </c>
      <c r="L28" t="b">
        <v>0</v>
      </c>
      <c r="M28" t="s">
        <v>1187</v>
      </c>
      <c r="N28" t="s">
        <v>1200</v>
      </c>
      <c r="O28" t="s">
        <v>1190</v>
      </c>
      <c r="P28" t="s">
        <v>1201</v>
      </c>
      <c r="Q28" t="s">
        <v>1187</v>
      </c>
    </row>
    <row r="29" spans="1:17" x14ac:dyDescent="0.25">
      <c r="A29" t="s">
        <v>39</v>
      </c>
      <c r="B29" t="s">
        <v>1259</v>
      </c>
      <c r="C29" t="s">
        <v>269</v>
      </c>
      <c r="D29" t="s">
        <v>1232</v>
      </c>
      <c r="E29">
        <v>-436</v>
      </c>
      <c r="F29" t="s">
        <v>1197</v>
      </c>
      <c r="G29" t="s">
        <v>1260</v>
      </c>
      <c r="H29" t="s">
        <v>1188</v>
      </c>
      <c r="I29" t="s">
        <v>1187</v>
      </c>
      <c r="J29" t="s">
        <v>1187</v>
      </c>
      <c r="K29" t="b">
        <v>1</v>
      </c>
      <c r="L29" t="b">
        <v>0</v>
      </c>
      <c r="M29" t="s">
        <v>1187</v>
      </c>
      <c r="N29" t="s">
        <v>1200</v>
      </c>
      <c r="O29" t="s">
        <v>1190</v>
      </c>
      <c r="P29" t="s">
        <v>1201</v>
      </c>
      <c r="Q29" t="s">
        <v>1261</v>
      </c>
    </row>
    <row r="30" spans="1:17" x14ac:dyDescent="0.25">
      <c r="A30" t="s">
        <v>39</v>
      </c>
      <c r="B30" t="s">
        <v>1262</v>
      </c>
      <c r="C30" t="s">
        <v>271</v>
      </c>
      <c r="D30" t="s">
        <v>1137</v>
      </c>
      <c r="E30">
        <v>-358.7</v>
      </c>
      <c r="F30" t="s">
        <v>1197</v>
      </c>
      <c r="G30" t="s">
        <v>1263</v>
      </c>
      <c r="H30" t="s">
        <v>1188</v>
      </c>
      <c r="I30" t="s">
        <v>1199</v>
      </c>
      <c r="J30" t="s">
        <v>1187</v>
      </c>
      <c r="K30" t="b">
        <v>1</v>
      </c>
      <c r="L30" t="b">
        <v>0</v>
      </c>
      <c r="M30" t="s">
        <v>1187</v>
      </c>
      <c r="N30" t="s">
        <v>1200</v>
      </c>
      <c r="O30" t="s">
        <v>1190</v>
      </c>
      <c r="P30" t="s">
        <v>1201</v>
      </c>
      <c r="Q30" t="s">
        <v>1187</v>
      </c>
    </row>
    <row r="31" spans="1:17" x14ac:dyDescent="0.25">
      <c r="A31" t="s">
        <v>39</v>
      </c>
      <c r="B31" t="s">
        <v>1264</v>
      </c>
      <c r="C31" t="s">
        <v>271</v>
      </c>
      <c r="D31" t="s">
        <v>1138</v>
      </c>
      <c r="E31">
        <v>-358.3</v>
      </c>
      <c r="F31" t="s">
        <v>1197</v>
      </c>
      <c r="G31" t="s">
        <v>1265</v>
      </c>
      <c r="H31" t="s">
        <v>1188</v>
      </c>
      <c r="I31" t="s">
        <v>1205</v>
      </c>
      <c r="J31" t="s">
        <v>1187</v>
      </c>
      <c r="K31" t="b">
        <v>1</v>
      </c>
      <c r="L31" t="b">
        <v>0</v>
      </c>
      <c r="M31" t="s">
        <v>1187</v>
      </c>
      <c r="N31" t="s">
        <v>1200</v>
      </c>
      <c r="O31" t="s">
        <v>1190</v>
      </c>
      <c r="P31" t="s">
        <v>1201</v>
      </c>
      <c r="Q31" t="s">
        <v>1187</v>
      </c>
    </row>
    <row r="32" spans="1:17" x14ac:dyDescent="0.25">
      <c r="A32" t="s">
        <v>39</v>
      </c>
      <c r="B32" t="s">
        <v>1266</v>
      </c>
      <c r="C32" t="s">
        <v>271</v>
      </c>
      <c r="D32" t="s">
        <v>1139</v>
      </c>
      <c r="E32">
        <v>-382.3</v>
      </c>
      <c r="F32" t="s">
        <v>1197</v>
      </c>
      <c r="G32" t="s">
        <v>1267</v>
      </c>
      <c r="H32" t="s">
        <v>1188</v>
      </c>
      <c r="I32" t="s">
        <v>1208</v>
      </c>
      <c r="J32" t="s">
        <v>1187</v>
      </c>
      <c r="K32" t="b">
        <v>1</v>
      </c>
      <c r="L32" t="b">
        <v>0</v>
      </c>
      <c r="M32" t="s">
        <v>1187</v>
      </c>
      <c r="N32" t="s">
        <v>1200</v>
      </c>
      <c r="O32" t="s">
        <v>1190</v>
      </c>
      <c r="P32" t="s">
        <v>1201</v>
      </c>
      <c r="Q32" t="s">
        <v>1187</v>
      </c>
    </row>
    <row r="33" spans="1:17" x14ac:dyDescent="0.25">
      <c r="A33" t="s">
        <v>39</v>
      </c>
      <c r="B33" t="s">
        <v>1268</v>
      </c>
      <c r="C33" t="s">
        <v>271</v>
      </c>
      <c r="D33" t="s">
        <v>1140</v>
      </c>
      <c r="E33">
        <v>-401.6</v>
      </c>
      <c r="F33" t="s">
        <v>1197</v>
      </c>
      <c r="G33" t="s">
        <v>1269</v>
      </c>
      <c r="H33" t="s">
        <v>1188</v>
      </c>
      <c r="I33" t="s">
        <v>1187</v>
      </c>
      <c r="J33" t="s">
        <v>1187</v>
      </c>
      <c r="K33" t="b">
        <v>1</v>
      </c>
      <c r="L33" t="b">
        <v>0</v>
      </c>
      <c r="M33" t="s">
        <v>1187</v>
      </c>
      <c r="N33" t="s">
        <v>1200</v>
      </c>
      <c r="O33" t="s">
        <v>1190</v>
      </c>
      <c r="P33" t="s">
        <v>1201</v>
      </c>
      <c r="Q33" t="s">
        <v>1270</v>
      </c>
    </row>
    <row r="34" spans="1:17" x14ac:dyDescent="0.25">
      <c r="A34" t="s">
        <v>39</v>
      </c>
      <c r="B34" t="s">
        <v>1271</v>
      </c>
      <c r="C34" t="s">
        <v>271</v>
      </c>
      <c r="D34" t="s">
        <v>1141</v>
      </c>
      <c r="E34">
        <v>-399</v>
      </c>
      <c r="F34" t="s">
        <v>1197</v>
      </c>
      <c r="G34" t="s">
        <v>1272</v>
      </c>
      <c r="H34" t="s">
        <v>1188</v>
      </c>
      <c r="I34" t="s">
        <v>1214</v>
      </c>
      <c r="J34" t="s">
        <v>1187</v>
      </c>
      <c r="K34" t="b">
        <v>1</v>
      </c>
      <c r="L34" t="b">
        <v>0</v>
      </c>
      <c r="M34" t="s">
        <v>1187</v>
      </c>
      <c r="N34" t="s">
        <v>1200</v>
      </c>
      <c r="O34" t="s">
        <v>1190</v>
      </c>
      <c r="P34" t="s">
        <v>1201</v>
      </c>
      <c r="Q34" t="s">
        <v>1187</v>
      </c>
    </row>
    <row r="35" spans="1:17" x14ac:dyDescent="0.25">
      <c r="A35" t="s">
        <v>39</v>
      </c>
      <c r="B35" t="s">
        <v>1273</v>
      </c>
      <c r="C35" t="s">
        <v>271</v>
      </c>
      <c r="D35" t="s">
        <v>1142</v>
      </c>
      <c r="E35">
        <v>-413</v>
      </c>
      <c r="F35" t="s">
        <v>1197</v>
      </c>
      <c r="G35" t="s">
        <v>1274</v>
      </c>
      <c r="H35" t="s">
        <v>1188</v>
      </c>
      <c r="I35" t="s">
        <v>1217</v>
      </c>
      <c r="J35" t="s">
        <v>1187</v>
      </c>
      <c r="K35" t="b">
        <v>1</v>
      </c>
      <c r="L35" t="b">
        <v>0</v>
      </c>
      <c r="M35" t="s">
        <v>1187</v>
      </c>
      <c r="N35" t="s">
        <v>1200</v>
      </c>
      <c r="O35" t="s">
        <v>1190</v>
      </c>
      <c r="P35" t="s">
        <v>1201</v>
      </c>
      <c r="Q35" t="s">
        <v>1187</v>
      </c>
    </row>
    <row r="36" spans="1:17" x14ac:dyDescent="0.25">
      <c r="A36" t="s">
        <v>39</v>
      </c>
      <c r="B36" t="s">
        <v>1275</v>
      </c>
      <c r="C36" t="s">
        <v>271</v>
      </c>
      <c r="D36" t="s">
        <v>1143</v>
      </c>
      <c r="E36">
        <v>-422</v>
      </c>
      <c r="F36" t="s">
        <v>1197</v>
      </c>
      <c r="G36" t="s">
        <v>1276</v>
      </c>
      <c r="H36" t="s">
        <v>1188</v>
      </c>
      <c r="I36" t="s">
        <v>1220</v>
      </c>
      <c r="J36" t="s">
        <v>1187</v>
      </c>
      <c r="K36" t="b">
        <v>1</v>
      </c>
      <c r="L36" t="b">
        <v>0</v>
      </c>
      <c r="M36" t="s">
        <v>1187</v>
      </c>
      <c r="N36" t="s">
        <v>1200</v>
      </c>
      <c r="O36" t="s">
        <v>1190</v>
      </c>
      <c r="P36" t="s">
        <v>1201</v>
      </c>
      <c r="Q36" t="s">
        <v>1187</v>
      </c>
    </row>
    <row r="37" spans="1:17" x14ac:dyDescent="0.25">
      <c r="A37" t="s">
        <v>39</v>
      </c>
      <c r="B37" t="s">
        <v>1277</v>
      </c>
      <c r="C37" t="s">
        <v>271</v>
      </c>
      <c r="D37" t="s">
        <v>1144</v>
      </c>
      <c r="E37">
        <v>-443</v>
      </c>
      <c r="F37" t="s">
        <v>1197</v>
      </c>
      <c r="G37" t="s">
        <v>1278</v>
      </c>
      <c r="H37" t="s">
        <v>1188</v>
      </c>
      <c r="I37" t="s">
        <v>1187</v>
      </c>
      <c r="J37" t="s">
        <v>1187</v>
      </c>
      <c r="K37" t="b">
        <v>1</v>
      </c>
      <c r="L37" t="b">
        <v>0</v>
      </c>
      <c r="M37" t="s">
        <v>1187</v>
      </c>
      <c r="N37" t="s">
        <v>1200</v>
      </c>
      <c r="O37" t="s">
        <v>1190</v>
      </c>
      <c r="P37" t="s">
        <v>1201</v>
      </c>
      <c r="Q37" t="s">
        <v>1279</v>
      </c>
    </row>
    <row r="38" spans="1:17" x14ac:dyDescent="0.25">
      <c r="A38" t="s">
        <v>39</v>
      </c>
      <c r="B38" t="s">
        <v>1280</v>
      </c>
      <c r="C38" t="s">
        <v>271</v>
      </c>
      <c r="D38" t="s">
        <v>1145</v>
      </c>
      <c r="E38">
        <v>-434</v>
      </c>
      <c r="F38" t="s">
        <v>1197</v>
      </c>
      <c r="G38" t="s">
        <v>1281</v>
      </c>
      <c r="H38" t="s">
        <v>1188</v>
      </c>
      <c r="I38" t="s">
        <v>1226</v>
      </c>
      <c r="J38" t="s">
        <v>1187</v>
      </c>
      <c r="K38" t="b">
        <v>1</v>
      </c>
      <c r="L38" t="b">
        <v>0</v>
      </c>
      <c r="M38" t="s">
        <v>1187</v>
      </c>
      <c r="N38" t="s">
        <v>1200</v>
      </c>
      <c r="O38" t="s">
        <v>1190</v>
      </c>
      <c r="P38" t="s">
        <v>1201</v>
      </c>
      <c r="Q38" t="s">
        <v>1187</v>
      </c>
    </row>
    <row r="39" spans="1:17" x14ac:dyDescent="0.25">
      <c r="A39" t="s">
        <v>39</v>
      </c>
      <c r="B39" t="s">
        <v>1282</v>
      </c>
      <c r="C39" t="s">
        <v>271</v>
      </c>
      <c r="D39" t="s">
        <v>1146</v>
      </c>
      <c r="E39">
        <v>-463</v>
      </c>
      <c r="F39" t="s">
        <v>1197</v>
      </c>
      <c r="G39" t="s">
        <v>1283</v>
      </c>
      <c r="H39" t="s">
        <v>1188</v>
      </c>
      <c r="I39" t="s">
        <v>1217</v>
      </c>
      <c r="J39" t="s">
        <v>1187</v>
      </c>
      <c r="K39" t="b">
        <v>1</v>
      </c>
      <c r="L39" t="b">
        <v>0</v>
      </c>
      <c r="M39" t="s">
        <v>1187</v>
      </c>
      <c r="N39" t="s">
        <v>1200</v>
      </c>
      <c r="O39" t="s">
        <v>1190</v>
      </c>
      <c r="P39" t="s">
        <v>1201</v>
      </c>
      <c r="Q39" t="s">
        <v>1187</v>
      </c>
    </row>
    <row r="40" spans="1:17" x14ac:dyDescent="0.25">
      <c r="A40" t="s">
        <v>39</v>
      </c>
      <c r="B40" t="s">
        <v>1284</v>
      </c>
      <c r="C40" t="s">
        <v>271</v>
      </c>
      <c r="D40" t="s">
        <v>1147</v>
      </c>
      <c r="E40">
        <v>-459</v>
      </c>
      <c r="F40" t="s">
        <v>1197</v>
      </c>
      <c r="G40" t="s">
        <v>1285</v>
      </c>
      <c r="H40" t="s">
        <v>1188</v>
      </c>
      <c r="I40" t="s">
        <v>1220</v>
      </c>
      <c r="J40" t="s">
        <v>1187</v>
      </c>
      <c r="K40" t="b">
        <v>1</v>
      </c>
      <c r="L40" t="b">
        <v>0</v>
      </c>
      <c r="M40" t="s">
        <v>1187</v>
      </c>
      <c r="N40" t="s">
        <v>1200</v>
      </c>
      <c r="O40" t="s">
        <v>1190</v>
      </c>
      <c r="P40" t="s">
        <v>1201</v>
      </c>
      <c r="Q40" t="s">
        <v>1187</v>
      </c>
    </row>
    <row r="41" spans="1:17" x14ac:dyDescent="0.25">
      <c r="A41" t="s">
        <v>39</v>
      </c>
      <c r="B41" t="s">
        <v>1286</v>
      </c>
      <c r="C41" t="s">
        <v>271</v>
      </c>
      <c r="D41" t="s">
        <v>1232</v>
      </c>
      <c r="E41">
        <v>-458</v>
      </c>
      <c r="F41" t="s">
        <v>1197</v>
      </c>
      <c r="G41" t="s">
        <v>1287</v>
      </c>
      <c r="H41" t="s">
        <v>1188</v>
      </c>
      <c r="I41" t="s">
        <v>1187</v>
      </c>
      <c r="J41" t="s">
        <v>1187</v>
      </c>
      <c r="K41" t="b">
        <v>1</v>
      </c>
      <c r="L41" t="b">
        <v>0</v>
      </c>
      <c r="M41" t="s">
        <v>1187</v>
      </c>
      <c r="N41" t="s">
        <v>1200</v>
      </c>
      <c r="O41" t="s">
        <v>1190</v>
      </c>
      <c r="P41" t="s">
        <v>1201</v>
      </c>
      <c r="Q41" t="s">
        <v>1288</v>
      </c>
    </row>
    <row r="42" spans="1:17" x14ac:dyDescent="0.25">
      <c r="A42" t="s">
        <v>39</v>
      </c>
      <c r="B42" t="s">
        <v>1289</v>
      </c>
      <c r="C42" t="s">
        <v>272</v>
      </c>
      <c r="D42" t="s">
        <v>1137</v>
      </c>
      <c r="E42">
        <v>-2169.5</v>
      </c>
      <c r="F42" t="s">
        <v>1290</v>
      </c>
      <c r="G42" t="s">
        <v>1198</v>
      </c>
      <c r="H42" t="s">
        <v>1188</v>
      </c>
      <c r="I42" t="s">
        <v>1199</v>
      </c>
      <c r="J42" t="s">
        <v>1187</v>
      </c>
      <c r="K42" t="b">
        <v>1</v>
      </c>
      <c r="L42" t="b">
        <v>0</v>
      </c>
      <c r="M42" t="s">
        <v>1187</v>
      </c>
      <c r="N42" t="s">
        <v>1291</v>
      </c>
      <c r="O42" t="s">
        <v>1190</v>
      </c>
      <c r="P42" t="s">
        <v>1201</v>
      </c>
      <c r="Q42" t="s">
        <v>1292</v>
      </c>
    </row>
    <row r="43" spans="1:17" x14ac:dyDescent="0.25">
      <c r="A43" t="s">
        <v>39</v>
      </c>
      <c r="B43" t="s">
        <v>1293</v>
      </c>
      <c r="C43" t="s">
        <v>272</v>
      </c>
      <c r="D43" t="s">
        <v>1138</v>
      </c>
      <c r="E43">
        <v>-2224.4</v>
      </c>
      <c r="F43" t="s">
        <v>1290</v>
      </c>
      <c r="G43" t="s">
        <v>1204</v>
      </c>
      <c r="H43" t="s">
        <v>1188</v>
      </c>
      <c r="I43" t="s">
        <v>1205</v>
      </c>
      <c r="J43" t="s">
        <v>1187</v>
      </c>
      <c r="K43" t="b">
        <v>1</v>
      </c>
      <c r="L43" t="b">
        <v>0</v>
      </c>
      <c r="M43" t="s">
        <v>1187</v>
      </c>
      <c r="N43" t="s">
        <v>1291</v>
      </c>
      <c r="O43" t="s">
        <v>1190</v>
      </c>
      <c r="P43" t="s">
        <v>1201</v>
      </c>
      <c r="Q43" t="s">
        <v>1292</v>
      </c>
    </row>
    <row r="44" spans="1:17" x14ac:dyDescent="0.25">
      <c r="A44" t="s">
        <v>39</v>
      </c>
      <c r="B44" t="s">
        <v>1294</v>
      </c>
      <c r="C44" t="s">
        <v>272</v>
      </c>
      <c r="D44" t="s">
        <v>1139</v>
      </c>
      <c r="E44">
        <v>-2284.3</v>
      </c>
      <c r="F44" t="s">
        <v>1290</v>
      </c>
      <c r="G44" t="s">
        <v>1207</v>
      </c>
      <c r="H44" t="s">
        <v>1188</v>
      </c>
      <c r="I44" t="s">
        <v>1208</v>
      </c>
      <c r="J44" t="s">
        <v>1187</v>
      </c>
      <c r="K44" t="b">
        <v>1</v>
      </c>
      <c r="L44" t="b">
        <v>0</v>
      </c>
      <c r="M44" t="s">
        <v>1187</v>
      </c>
      <c r="N44" t="s">
        <v>1291</v>
      </c>
      <c r="O44" t="s">
        <v>1190</v>
      </c>
      <c r="P44" t="s">
        <v>1201</v>
      </c>
      <c r="Q44" t="s">
        <v>1292</v>
      </c>
    </row>
    <row r="45" spans="1:17" x14ac:dyDescent="0.25">
      <c r="A45" t="s">
        <v>39</v>
      </c>
      <c r="B45" t="s">
        <v>1295</v>
      </c>
      <c r="C45" t="s">
        <v>272</v>
      </c>
      <c r="D45" t="s">
        <v>1140</v>
      </c>
      <c r="E45">
        <v>-2265</v>
      </c>
      <c r="F45" t="s">
        <v>1290</v>
      </c>
      <c r="G45" t="s">
        <v>1210</v>
      </c>
      <c r="H45" t="s">
        <v>1188</v>
      </c>
      <c r="I45" t="s">
        <v>1187</v>
      </c>
      <c r="J45" t="s">
        <v>1187</v>
      </c>
      <c r="K45" t="b">
        <v>1</v>
      </c>
      <c r="L45" t="b">
        <v>0</v>
      </c>
      <c r="M45" t="s">
        <v>1187</v>
      </c>
      <c r="N45" t="s">
        <v>1291</v>
      </c>
      <c r="O45" t="s">
        <v>1190</v>
      </c>
      <c r="P45" t="s">
        <v>1201</v>
      </c>
      <c r="Q45" t="s">
        <v>1296</v>
      </c>
    </row>
    <row r="46" spans="1:17" x14ac:dyDescent="0.25">
      <c r="A46" t="s">
        <v>39</v>
      </c>
      <c r="B46" t="s">
        <v>1297</v>
      </c>
      <c r="C46" t="s">
        <v>272</v>
      </c>
      <c r="D46" t="s">
        <v>1141</v>
      </c>
      <c r="E46">
        <v>-2283</v>
      </c>
      <c r="F46" t="s">
        <v>1290</v>
      </c>
      <c r="G46" t="s">
        <v>1213</v>
      </c>
      <c r="H46" t="s">
        <v>1188</v>
      </c>
      <c r="I46" t="s">
        <v>1214</v>
      </c>
      <c r="J46" t="s">
        <v>1187</v>
      </c>
      <c r="K46" t="b">
        <v>1</v>
      </c>
      <c r="L46" t="b">
        <v>0</v>
      </c>
      <c r="M46" t="s">
        <v>1187</v>
      </c>
      <c r="N46" t="s">
        <v>1291</v>
      </c>
      <c r="O46" t="s">
        <v>1190</v>
      </c>
      <c r="P46" t="s">
        <v>1201</v>
      </c>
      <c r="Q46" t="s">
        <v>1292</v>
      </c>
    </row>
    <row r="47" spans="1:17" x14ac:dyDescent="0.25">
      <c r="A47" t="s">
        <v>39</v>
      </c>
      <c r="B47" t="s">
        <v>1298</v>
      </c>
      <c r="C47" t="s">
        <v>272</v>
      </c>
      <c r="D47" t="s">
        <v>1142</v>
      </c>
      <c r="E47">
        <v>-2383</v>
      </c>
      <c r="F47" t="s">
        <v>1290</v>
      </c>
      <c r="G47" t="s">
        <v>1216</v>
      </c>
      <c r="H47" t="s">
        <v>1188</v>
      </c>
      <c r="I47" t="s">
        <v>1217</v>
      </c>
      <c r="J47" t="s">
        <v>1187</v>
      </c>
      <c r="K47" t="b">
        <v>1</v>
      </c>
      <c r="L47" t="b">
        <v>0</v>
      </c>
      <c r="M47" t="s">
        <v>1187</v>
      </c>
      <c r="N47" t="s">
        <v>1291</v>
      </c>
      <c r="O47" t="s">
        <v>1190</v>
      </c>
      <c r="P47" t="s">
        <v>1201</v>
      </c>
      <c r="Q47" t="s">
        <v>1292</v>
      </c>
    </row>
    <row r="48" spans="1:17" x14ac:dyDescent="0.25">
      <c r="A48" t="s">
        <v>39</v>
      </c>
      <c r="B48" t="s">
        <v>1299</v>
      </c>
      <c r="C48" t="s">
        <v>272</v>
      </c>
      <c r="D48" t="s">
        <v>1143</v>
      </c>
      <c r="E48">
        <v>-2367</v>
      </c>
      <c r="F48" t="s">
        <v>1290</v>
      </c>
      <c r="G48" t="s">
        <v>1219</v>
      </c>
      <c r="H48" t="s">
        <v>1188</v>
      </c>
      <c r="I48" t="s">
        <v>1220</v>
      </c>
      <c r="J48" t="s">
        <v>1187</v>
      </c>
      <c r="K48" t="b">
        <v>1</v>
      </c>
      <c r="L48" t="b">
        <v>0</v>
      </c>
      <c r="M48" t="s">
        <v>1187</v>
      </c>
      <c r="N48" t="s">
        <v>1291</v>
      </c>
      <c r="O48" t="s">
        <v>1190</v>
      </c>
      <c r="P48" t="s">
        <v>1201</v>
      </c>
      <c r="Q48" t="s">
        <v>1292</v>
      </c>
    </row>
    <row r="49" spans="1:17" x14ac:dyDescent="0.25">
      <c r="A49" t="s">
        <v>39</v>
      </c>
      <c r="B49" t="s">
        <v>1300</v>
      </c>
      <c r="C49" t="s">
        <v>272</v>
      </c>
      <c r="D49" t="s">
        <v>1144</v>
      </c>
      <c r="E49">
        <v>-2317</v>
      </c>
      <c r="F49" t="s">
        <v>1290</v>
      </c>
      <c r="G49" t="s">
        <v>1222</v>
      </c>
      <c r="H49" t="s">
        <v>1188</v>
      </c>
      <c r="I49" t="s">
        <v>1187</v>
      </c>
      <c r="J49" t="s">
        <v>1187</v>
      </c>
      <c r="K49" t="b">
        <v>1</v>
      </c>
      <c r="L49" t="b">
        <v>0</v>
      </c>
      <c r="M49" t="s">
        <v>1187</v>
      </c>
      <c r="N49" t="s">
        <v>1291</v>
      </c>
      <c r="O49" t="s">
        <v>1190</v>
      </c>
      <c r="P49" t="s">
        <v>1201</v>
      </c>
      <c r="Q49" t="s">
        <v>1301</v>
      </c>
    </row>
    <row r="50" spans="1:17" x14ac:dyDescent="0.25">
      <c r="A50" t="s">
        <v>39</v>
      </c>
      <c r="B50" t="s">
        <v>1302</v>
      </c>
      <c r="C50" t="s">
        <v>272</v>
      </c>
      <c r="D50" t="s">
        <v>1145</v>
      </c>
      <c r="E50">
        <v>-2314</v>
      </c>
      <c r="F50" t="s">
        <v>1290</v>
      </c>
      <c r="G50" t="s">
        <v>1225</v>
      </c>
      <c r="H50" t="s">
        <v>1188</v>
      </c>
      <c r="I50" t="s">
        <v>1226</v>
      </c>
      <c r="J50" t="s">
        <v>1187</v>
      </c>
      <c r="K50" t="b">
        <v>1</v>
      </c>
      <c r="L50" t="b">
        <v>0</v>
      </c>
      <c r="M50" t="s">
        <v>1187</v>
      </c>
      <c r="N50" t="s">
        <v>1291</v>
      </c>
      <c r="O50" t="s">
        <v>1190</v>
      </c>
      <c r="P50" t="s">
        <v>1201</v>
      </c>
      <c r="Q50" t="s">
        <v>1292</v>
      </c>
    </row>
    <row r="51" spans="1:17" x14ac:dyDescent="0.25">
      <c r="A51" t="s">
        <v>39</v>
      </c>
      <c r="B51" t="s">
        <v>1303</v>
      </c>
      <c r="C51" t="s">
        <v>272</v>
      </c>
      <c r="D51" t="s">
        <v>1146</v>
      </c>
      <c r="E51">
        <v>-2449</v>
      </c>
      <c r="F51" t="s">
        <v>1290</v>
      </c>
      <c r="G51" t="s">
        <v>1228</v>
      </c>
      <c r="H51" t="s">
        <v>1188</v>
      </c>
      <c r="I51" t="s">
        <v>1217</v>
      </c>
      <c r="J51" t="s">
        <v>1187</v>
      </c>
      <c r="K51" t="b">
        <v>1</v>
      </c>
      <c r="L51" t="b">
        <v>0</v>
      </c>
      <c r="M51" t="s">
        <v>1187</v>
      </c>
      <c r="N51" t="s">
        <v>1291</v>
      </c>
      <c r="O51" t="s">
        <v>1190</v>
      </c>
      <c r="P51" t="s">
        <v>1201</v>
      </c>
      <c r="Q51" t="s">
        <v>1292</v>
      </c>
    </row>
    <row r="52" spans="1:17" x14ac:dyDescent="0.25">
      <c r="A52" t="s">
        <v>39</v>
      </c>
      <c r="B52" t="s">
        <v>1304</v>
      </c>
      <c r="C52" t="s">
        <v>272</v>
      </c>
      <c r="D52" t="s">
        <v>1147</v>
      </c>
      <c r="E52">
        <v>-2463</v>
      </c>
      <c r="F52" t="s">
        <v>1290</v>
      </c>
      <c r="G52" t="s">
        <v>1230</v>
      </c>
      <c r="H52" t="s">
        <v>1188</v>
      </c>
      <c r="I52" t="s">
        <v>1220</v>
      </c>
      <c r="J52" t="s">
        <v>1187</v>
      </c>
      <c r="K52" t="b">
        <v>1</v>
      </c>
      <c r="L52" t="b">
        <v>0</v>
      </c>
      <c r="M52" t="s">
        <v>1187</v>
      </c>
      <c r="N52" t="s">
        <v>1291</v>
      </c>
      <c r="O52" t="s">
        <v>1190</v>
      </c>
      <c r="P52" t="s">
        <v>1201</v>
      </c>
      <c r="Q52" t="s">
        <v>1292</v>
      </c>
    </row>
    <row r="53" spans="1:17" x14ac:dyDescent="0.25">
      <c r="A53" t="s">
        <v>39</v>
      </c>
      <c r="B53" t="s">
        <v>1305</v>
      </c>
      <c r="C53" t="s">
        <v>272</v>
      </c>
      <c r="D53" t="s">
        <v>1232</v>
      </c>
      <c r="E53">
        <v>-2404</v>
      </c>
      <c r="F53" t="s">
        <v>1290</v>
      </c>
      <c r="G53" t="s">
        <v>1233</v>
      </c>
      <c r="H53" t="s">
        <v>1188</v>
      </c>
      <c r="I53" t="s">
        <v>1187</v>
      </c>
      <c r="J53" t="s">
        <v>1187</v>
      </c>
      <c r="K53" t="b">
        <v>1</v>
      </c>
      <c r="L53" t="b">
        <v>0</v>
      </c>
      <c r="M53" t="s">
        <v>1187</v>
      </c>
      <c r="N53" t="s">
        <v>1291</v>
      </c>
      <c r="O53" t="s">
        <v>1190</v>
      </c>
      <c r="P53" t="s">
        <v>1201</v>
      </c>
      <c r="Q53" t="s">
        <v>1306</v>
      </c>
    </row>
    <row r="54" spans="1:17" x14ac:dyDescent="0.25">
      <c r="A54" t="s">
        <v>39</v>
      </c>
      <c r="B54" t="s">
        <v>1307</v>
      </c>
      <c r="C54" t="s">
        <v>274</v>
      </c>
      <c r="D54" t="s">
        <v>1137</v>
      </c>
      <c r="E54">
        <v>1.4</v>
      </c>
      <c r="F54" t="s">
        <v>1197</v>
      </c>
      <c r="G54" t="s">
        <v>1308</v>
      </c>
      <c r="H54" t="s">
        <v>1188</v>
      </c>
      <c r="I54" t="s">
        <v>1199</v>
      </c>
      <c r="J54" t="s">
        <v>1187</v>
      </c>
      <c r="K54" t="b">
        <v>1</v>
      </c>
      <c r="L54" t="b">
        <v>0</v>
      </c>
      <c r="M54" t="s">
        <v>1187</v>
      </c>
      <c r="N54" t="s">
        <v>1291</v>
      </c>
      <c r="O54" t="s">
        <v>1309</v>
      </c>
      <c r="P54" t="s">
        <v>1201</v>
      </c>
      <c r="Q54" t="s">
        <v>1310</v>
      </c>
    </row>
    <row r="55" spans="1:17" x14ac:dyDescent="0.25">
      <c r="A55" t="s">
        <v>39</v>
      </c>
      <c r="B55" t="s">
        <v>1311</v>
      </c>
      <c r="C55" t="s">
        <v>274</v>
      </c>
      <c r="D55" t="s">
        <v>1138</v>
      </c>
      <c r="E55">
        <v>1.6</v>
      </c>
      <c r="F55" t="s">
        <v>1197</v>
      </c>
      <c r="G55" t="s">
        <v>1312</v>
      </c>
      <c r="H55" t="s">
        <v>1188</v>
      </c>
      <c r="I55" t="s">
        <v>1205</v>
      </c>
      <c r="J55" t="s">
        <v>1187</v>
      </c>
      <c r="K55" t="b">
        <v>1</v>
      </c>
      <c r="L55" t="b">
        <v>0</v>
      </c>
      <c r="M55" t="s">
        <v>1187</v>
      </c>
      <c r="N55" t="s">
        <v>1291</v>
      </c>
      <c r="O55" t="s">
        <v>1309</v>
      </c>
      <c r="P55" t="s">
        <v>1201</v>
      </c>
      <c r="Q55" t="s">
        <v>1310</v>
      </c>
    </row>
    <row r="56" spans="1:17" x14ac:dyDescent="0.25">
      <c r="A56" t="s">
        <v>39</v>
      </c>
      <c r="B56" t="s">
        <v>1313</v>
      </c>
      <c r="C56" t="s">
        <v>274</v>
      </c>
      <c r="D56" t="s">
        <v>1139</v>
      </c>
      <c r="E56">
        <v>2</v>
      </c>
      <c r="F56" t="s">
        <v>1197</v>
      </c>
      <c r="G56" t="s">
        <v>1314</v>
      </c>
      <c r="H56" t="s">
        <v>1188</v>
      </c>
      <c r="I56" t="s">
        <v>1208</v>
      </c>
      <c r="J56" t="s">
        <v>1187</v>
      </c>
      <c r="K56" t="b">
        <v>1</v>
      </c>
      <c r="L56" t="b">
        <v>0</v>
      </c>
      <c r="M56" t="s">
        <v>1187</v>
      </c>
      <c r="N56" t="s">
        <v>1291</v>
      </c>
      <c r="O56" t="s">
        <v>1309</v>
      </c>
      <c r="P56" t="s">
        <v>1201</v>
      </c>
      <c r="Q56" t="s">
        <v>1310</v>
      </c>
    </row>
    <row r="57" spans="1:17" x14ac:dyDescent="0.25">
      <c r="A57" t="s">
        <v>39</v>
      </c>
      <c r="B57" t="s">
        <v>1315</v>
      </c>
      <c r="C57" t="s">
        <v>274</v>
      </c>
      <c r="D57" t="s">
        <v>1140</v>
      </c>
      <c r="E57">
        <v>1</v>
      </c>
      <c r="F57" t="s">
        <v>1197</v>
      </c>
      <c r="G57" t="s">
        <v>1316</v>
      </c>
      <c r="H57" t="s">
        <v>1188</v>
      </c>
      <c r="I57" t="s">
        <v>1187</v>
      </c>
      <c r="J57" t="s">
        <v>1187</v>
      </c>
      <c r="K57" t="b">
        <v>1</v>
      </c>
      <c r="L57" t="b">
        <v>0</v>
      </c>
      <c r="M57" t="s">
        <v>1187</v>
      </c>
      <c r="N57" t="s">
        <v>1291</v>
      </c>
      <c r="O57" t="s">
        <v>1309</v>
      </c>
      <c r="P57" t="s">
        <v>1201</v>
      </c>
      <c r="Q57" t="s">
        <v>1317</v>
      </c>
    </row>
    <row r="58" spans="1:17" x14ac:dyDescent="0.25">
      <c r="A58" t="s">
        <v>39</v>
      </c>
      <c r="B58" t="s">
        <v>1318</v>
      </c>
      <c r="C58" t="s">
        <v>274</v>
      </c>
      <c r="D58" t="s">
        <v>1141</v>
      </c>
      <c r="E58">
        <v>1</v>
      </c>
      <c r="F58" t="s">
        <v>1197</v>
      </c>
      <c r="G58" t="s">
        <v>1316</v>
      </c>
      <c r="H58" t="s">
        <v>1188</v>
      </c>
      <c r="I58" t="s">
        <v>1214</v>
      </c>
      <c r="J58" t="s">
        <v>1187</v>
      </c>
      <c r="K58" t="b">
        <v>1</v>
      </c>
      <c r="L58" t="b">
        <v>0</v>
      </c>
      <c r="M58" t="s">
        <v>1187</v>
      </c>
      <c r="N58" t="s">
        <v>1291</v>
      </c>
      <c r="O58" t="s">
        <v>1309</v>
      </c>
      <c r="P58" t="s">
        <v>1201</v>
      </c>
      <c r="Q58" t="s">
        <v>1310</v>
      </c>
    </row>
    <row r="59" spans="1:17" x14ac:dyDescent="0.25">
      <c r="A59" t="s">
        <v>39</v>
      </c>
      <c r="B59" t="s">
        <v>1319</v>
      </c>
      <c r="C59" t="s">
        <v>274</v>
      </c>
      <c r="D59" t="s">
        <v>1142</v>
      </c>
      <c r="E59">
        <v>1</v>
      </c>
      <c r="F59" t="s">
        <v>1197</v>
      </c>
      <c r="G59" t="s">
        <v>1316</v>
      </c>
      <c r="H59" t="s">
        <v>1188</v>
      </c>
      <c r="I59" t="s">
        <v>1217</v>
      </c>
      <c r="J59" t="s">
        <v>1187</v>
      </c>
      <c r="K59" t="b">
        <v>1</v>
      </c>
      <c r="L59" t="b">
        <v>0</v>
      </c>
      <c r="M59" t="s">
        <v>1187</v>
      </c>
      <c r="N59" t="s">
        <v>1291</v>
      </c>
      <c r="O59" t="s">
        <v>1309</v>
      </c>
      <c r="P59" t="s">
        <v>1201</v>
      </c>
      <c r="Q59" t="s">
        <v>1310</v>
      </c>
    </row>
    <row r="60" spans="1:17" x14ac:dyDescent="0.25">
      <c r="A60" t="s">
        <v>39</v>
      </c>
      <c r="B60" t="s">
        <v>1320</v>
      </c>
      <c r="C60" t="s">
        <v>274</v>
      </c>
      <c r="D60" t="s">
        <v>1143</v>
      </c>
      <c r="E60">
        <v>4</v>
      </c>
      <c r="F60" t="s">
        <v>1197</v>
      </c>
      <c r="G60" t="s">
        <v>1321</v>
      </c>
      <c r="H60" t="s">
        <v>1188</v>
      </c>
      <c r="I60" t="s">
        <v>1220</v>
      </c>
      <c r="J60" t="s">
        <v>1187</v>
      </c>
      <c r="K60" t="b">
        <v>1</v>
      </c>
      <c r="L60" t="b">
        <v>0</v>
      </c>
      <c r="M60" t="s">
        <v>1187</v>
      </c>
      <c r="N60" t="s">
        <v>1291</v>
      </c>
      <c r="O60" t="s">
        <v>1309</v>
      </c>
      <c r="P60" t="s">
        <v>1201</v>
      </c>
      <c r="Q60" t="s">
        <v>1310</v>
      </c>
    </row>
    <row r="61" spans="1:17" x14ac:dyDescent="0.25">
      <c r="A61" t="s">
        <v>39</v>
      </c>
      <c r="B61" t="s">
        <v>1322</v>
      </c>
      <c r="C61" t="s">
        <v>274</v>
      </c>
      <c r="D61" t="s">
        <v>1144</v>
      </c>
      <c r="E61">
        <v>2</v>
      </c>
      <c r="F61" t="s">
        <v>1197</v>
      </c>
      <c r="G61" t="s">
        <v>1314</v>
      </c>
      <c r="H61" t="s">
        <v>1188</v>
      </c>
      <c r="I61" t="s">
        <v>1187</v>
      </c>
      <c r="J61" t="s">
        <v>1187</v>
      </c>
      <c r="K61" t="b">
        <v>1</v>
      </c>
      <c r="L61" t="b">
        <v>0</v>
      </c>
      <c r="M61" t="s">
        <v>1187</v>
      </c>
      <c r="N61" t="s">
        <v>1291</v>
      </c>
      <c r="O61" t="s">
        <v>1309</v>
      </c>
      <c r="P61" t="s">
        <v>1201</v>
      </c>
      <c r="Q61" t="s">
        <v>1323</v>
      </c>
    </row>
    <row r="62" spans="1:17" x14ac:dyDescent="0.25">
      <c r="A62" t="s">
        <v>39</v>
      </c>
      <c r="B62" t="s">
        <v>1324</v>
      </c>
      <c r="C62" t="s">
        <v>274</v>
      </c>
      <c r="D62" t="s">
        <v>1145</v>
      </c>
      <c r="E62">
        <v>2</v>
      </c>
      <c r="F62" t="s">
        <v>1197</v>
      </c>
      <c r="G62" t="s">
        <v>1314</v>
      </c>
      <c r="H62" t="s">
        <v>1188</v>
      </c>
      <c r="I62" t="s">
        <v>1226</v>
      </c>
      <c r="J62" t="s">
        <v>1187</v>
      </c>
      <c r="K62" t="b">
        <v>1</v>
      </c>
      <c r="L62" t="b">
        <v>0</v>
      </c>
      <c r="M62" t="s">
        <v>1187</v>
      </c>
      <c r="N62" t="s">
        <v>1291</v>
      </c>
      <c r="O62" t="s">
        <v>1309</v>
      </c>
      <c r="P62" t="s">
        <v>1201</v>
      </c>
      <c r="Q62" t="s">
        <v>1310</v>
      </c>
    </row>
    <row r="63" spans="1:17" x14ac:dyDescent="0.25">
      <c r="A63" t="s">
        <v>39</v>
      </c>
      <c r="B63" t="s">
        <v>1325</v>
      </c>
      <c r="C63" t="s">
        <v>274</v>
      </c>
      <c r="D63" t="s">
        <v>1146</v>
      </c>
      <c r="E63">
        <v>2</v>
      </c>
      <c r="F63" t="s">
        <v>1197</v>
      </c>
      <c r="G63" t="s">
        <v>1314</v>
      </c>
      <c r="H63" t="s">
        <v>1188</v>
      </c>
      <c r="I63" t="s">
        <v>1217</v>
      </c>
      <c r="J63" t="s">
        <v>1187</v>
      </c>
      <c r="K63" t="b">
        <v>1</v>
      </c>
      <c r="L63" t="b">
        <v>0</v>
      </c>
      <c r="M63" t="s">
        <v>1187</v>
      </c>
      <c r="N63" t="s">
        <v>1291</v>
      </c>
      <c r="O63" t="s">
        <v>1309</v>
      </c>
      <c r="P63" t="s">
        <v>1201</v>
      </c>
      <c r="Q63" t="s">
        <v>1310</v>
      </c>
    </row>
    <row r="64" spans="1:17" x14ac:dyDescent="0.25">
      <c r="A64" t="s">
        <v>39</v>
      </c>
      <c r="B64" t="s">
        <v>1326</v>
      </c>
      <c r="C64" t="s">
        <v>274</v>
      </c>
      <c r="D64" t="s">
        <v>1147</v>
      </c>
      <c r="E64">
        <v>2</v>
      </c>
      <c r="F64" t="s">
        <v>1197</v>
      </c>
      <c r="G64" t="s">
        <v>1314</v>
      </c>
      <c r="H64" t="s">
        <v>1188</v>
      </c>
      <c r="I64" t="s">
        <v>1220</v>
      </c>
      <c r="J64" t="s">
        <v>1187</v>
      </c>
      <c r="K64" t="b">
        <v>1</v>
      </c>
      <c r="L64" t="b">
        <v>0</v>
      </c>
      <c r="M64" t="s">
        <v>1187</v>
      </c>
      <c r="N64" t="s">
        <v>1291</v>
      </c>
      <c r="O64" t="s">
        <v>1309</v>
      </c>
      <c r="P64" t="s">
        <v>1201</v>
      </c>
      <c r="Q64" t="s">
        <v>1310</v>
      </c>
    </row>
    <row r="65" spans="1:17" x14ac:dyDescent="0.25">
      <c r="A65" t="s">
        <v>39</v>
      </c>
      <c r="B65" t="s">
        <v>1327</v>
      </c>
      <c r="C65" t="s">
        <v>274</v>
      </c>
      <c r="D65" t="s">
        <v>1232</v>
      </c>
      <c r="E65">
        <v>2</v>
      </c>
      <c r="F65" t="s">
        <v>1197</v>
      </c>
      <c r="G65" t="s">
        <v>1314</v>
      </c>
      <c r="H65" t="s">
        <v>1188</v>
      </c>
      <c r="I65" t="s">
        <v>1187</v>
      </c>
      <c r="J65" t="s">
        <v>1187</v>
      </c>
      <c r="K65" t="b">
        <v>1</v>
      </c>
      <c r="L65" t="b">
        <v>0</v>
      </c>
      <c r="M65" t="s">
        <v>1187</v>
      </c>
      <c r="N65" t="s">
        <v>1291</v>
      </c>
      <c r="O65" t="s">
        <v>1309</v>
      </c>
      <c r="P65" t="s">
        <v>1201</v>
      </c>
      <c r="Q65" t="s">
        <v>1328</v>
      </c>
    </row>
    <row r="66" spans="1:17" x14ac:dyDescent="0.25">
      <c r="A66" t="s">
        <v>39</v>
      </c>
      <c r="B66" t="s">
        <v>1329</v>
      </c>
      <c r="C66" t="s">
        <v>277</v>
      </c>
      <c r="D66" t="s">
        <v>1137</v>
      </c>
      <c r="E66">
        <v>2.5</v>
      </c>
      <c r="F66" t="s">
        <v>1197</v>
      </c>
      <c r="G66" t="s">
        <v>1330</v>
      </c>
      <c r="H66" t="s">
        <v>1188</v>
      </c>
      <c r="I66" t="s">
        <v>1199</v>
      </c>
      <c r="J66" t="s">
        <v>1187</v>
      </c>
      <c r="K66" t="b">
        <v>1</v>
      </c>
      <c r="L66" t="b">
        <v>0</v>
      </c>
      <c r="M66" t="s">
        <v>1187</v>
      </c>
      <c r="N66" t="s">
        <v>1291</v>
      </c>
      <c r="O66" t="s">
        <v>1190</v>
      </c>
      <c r="P66" t="s">
        <v>1201</v>
      </c>
      <c r="Q66" t="s">
        <v>1187</v>
      </c>
    </row>
    <row r="67" spans="1:17" x14ac:dyDescent="0.25">
      <c r="A67" t="s">
        <v>39</v>
      </c>
      <c r="B67" t="s">
        <v>1331</v>
      </c>
      <c r="C67" t="s">
        <v>277</v>
      </c>
      <c r="D67" t="s">
        <v>1138</v>
      </c>
      <c r="E67">
        <v>-0.6</v>
      </c>
      <c r="F67" t="s">
        <v>1197</v>
      </c>
      <c r="G67" t="s">
        <v>1332</v>
      </c>
      <c r="H67" t="s">
        <v>1188</v>
      </c>
      <c r="I67" t="s">
        <v>1205</v>
      </c>
      <c r="J67" t="s">
        <v>1187</v>
      </c>
      <c r="K67" t="b">
        <v>1</v>
      </c>
      <c r="L67" t="b">
        <v>0</v>
      </c>
      <c r="M67" t="s">
        <v>1187</v>
      </c>
      <c r="N67" t="s">
        <v>1291</v>
      </c>
      <c r="O67" t="s">
        <v>1190</v>
      </c>
      <c r="P67" t="s">
        <v>1201</v>
      </c>
      <c r="Q67" t="s">
        <v>1187</v>
      </c>
    </row>
    <row r="68" spans="1:17" x14ac:dyDescent="0.25">
      <c r="A68" t="s">
        <v>39</v>
      </c>
      <c r="B68" t="s">
        <v>1333</v>
      </c>
      <c r="C68" t="s">
        <v>277</v>
      </c>
      <c r="D68" t="s">
        <v>1139</v>
      </c>
      <c r="E68">
        <v>1.3</v>
      </c>
      <c r="F68" t="s">
        <v>1197</v>
      </c>
      <c r="G68" t="s">
        <v>1334</v>
      </c>
      <c r="H68" t="s">
        <v>1188</v>
      </c>
      <c r="I68" t="s">
        <v>1208</v>
      </c>
      <c r="J68" t="s">
        <v>1187</v>
      </c>
      <c r="K68" t="b">
        <v>1</v>
      </c>
      <c r="L68" t="b">
        <v>0</v>
      </c>
      <c r="M68" t="s">
        <v>1187</v>
      </c>
      <c r="N68" t="s">
        <v>1291</v>
      </c>
      <c r="O68" t="s">
        <v>1190</v>
      </c>
      <c r="P68" t="s">
        <v>1201</v>
      </c>
      <c r="Q68" t="s">
        <v>1187</v>
      </c>
    </row>
    <row r="69" spans="1:17" x14ac:dyDescent="0.25">
      <c r="A69" t="s">
        <v>39</v>
      </c>
      <c r="B69" t="s">
        <v>1335</v>
      </c>
      <c r="C69" t="s">
        <v>277</v>
      </c>
      <c r="D69" t="s">
        <v>1140</v>
      </c>
      <c r="E69">
        <v>3.8</v>
      </c>
      <c r="F69" t="s">
        <v>1197</v>
      </c>
      <c r="G69" t="s">
        <v>1336</v>
      </c>
      <c r="H69" t="s">
        <v>1188</v>
      </c>
      <c r="I69" t="s">
        <v>1187</v>
      </c>
      <c r="J69" t="s">
        <v>1187</v>
      </c>
      <c r="K69" t="b">
        <v>1</v>
      </c>
      <c r="L69" t="b">
        <v>0</v>
      </c>
      <c r="M69" t="s">
        <v>1187</v>
      </c>
      <c r="N69" t="s">
        <v>1291</v>
      </c>
      <c r="O69" t="s">
        <v>1190</v>
      </c>
      <c r="P69" t="s">
        <v>1201</v>
      </c>
      <c r="Q69" t="s">
        <v>1337</v>
      </c>
    </row>
    <row r="70" spans="1:17" x14ac:dyDescent="0.25">
      <c r="A70" t="s">
        <v>39</v>
      </c>
      <c r="B70" t="s">
        <v>1338</v>
      </c>
      <c r="C70" t="s">
        <v>277</v>
      </c>
      <c r="D70" t="s">
        <v>1141</v>
      </c>
      <c r="E70">
        <v>13</v>
      </c>
      <c r="F70" t="s">
        <v>1197</v>
      </c>
      <c r="G70" t="s">
        <v>1339</v>
      </c>
      <c r="H70" t="s">
        <v>1188</v>
      </c>
      <c r="I70" t="s">
        <v>1214</v>
      </c>
      <c r="J70" t="s">
        <v>1187</v>
      </c>
      <c r="K70" t="b">
        <v>1</v>
      </c>
      <c r="L70" t="b">
        <v>0</v>
      </c>
      <c r="M70" t="s">
        <v>1187</v>
      </c>
      <c r="N70" t="s">
        <v>1291</v>
      </c>
      <c r="O70" t="s">
        <v>1190</v>
      </c>
      <c r="P70" t="s">
        <v>1201</v>
      </c>
      <c r="Q70" t="s">
        <v>1187</v>
      </c>
    </row>
    <row r="71" spans="1:17" x14ac:dyDescent="0.25">
      <c r="A71" t="s">
        <v>39</v>
      </c>
      <c r="B71" t="s">
        <v>1340</v>
      </c>
      <c r="C71" t="s">
        <v>277</v>
      </c>
      <c r="D71" t="s">
        <v>1142</v>
      </c>
      <c r="E71">
        <v>1</v>
      </c>
      <c r="F71" t="s">
        <v>1197</v>
      </c>
      <c r="G71" t="s">
        <v>1341</v>
      </c>
      <c r="H71" t="s">
        <v>1188</v>
      </c>
      <c r="I71" t="s">
        <v>1217</v>
      </c>
      <c r="J71" t="s">
        <v>1187</v>
      </c>
      <c r="K71" t="b">
        <v>1</v>
      </c>
      <c r="L71" t="b">
        <v>0</v>
      </c>
      <c r="M71" t="s">
        <v>1187</v>
      </c>
      <c r="N71" t="s">
        <v>1291</v>
      </c>
      <c r="O71" t="s">
        <v>1190</v>
      </c>
      <c r="P71" t="s">
        <v>1201</v>
      </c>
      <c r="Q71" t="s">
        <v>1187</v>
      </c>
    </row>
    <row r="72" spans="1:17" x14ac:dyDescent="0.25">
      <c r="A72" t="s">
        <v>39</v>
      </c>
      <c r="B72" t="s">
        <v>1342</v>
      </c>
      <c r="C72" t="s">
        <v>277</v>
      </c>
      <c r="D72" t="s">
        <v>1143</v>
      </c>
      <c r="E72">
        <v>10</v>
      </c>
      <c r="F72" t="s">
        <v>1197</v>
      </c>
      <c r="G72" t="s">
        <v>1343</v>
      </c>
      <c r="H72" t="s">
        <v>1188</v>
      </c>
      <c r="I72" t="s">
        <v>1220</v>
      </c>
      <c r="J72" t="s">
        <v>1187</v>
      </c>
      <c r="K72" t="b">
        <v>1</v>
      </c>
      <c r="L72" t="b">
        <v>0</v>
      </c>
      <c r="M72" t="s">
        <v>1187</v>
      </c>
      <c r="N72" t="s">
        <v>1291</v>
      </c>
      <c r="O72" t="s">
        <v>1190</v>
      </c>
      <c r="P72" t="s">
        <v>1201</v>
      </c>
      <c r="Q72" t="s">
        <v>1187</v>
      </c>
    </row>
    <row r="73" spans="1:17" x14ac:dyDescent="0.25">
      <c r="A73" t="s">
        <v>39</v>
      </c>
      <c r="B73" t="s">
        <v>1344</v>
      </c>
      <c r="C73" t="s">
        <v>277</v>
      </c>
      <c r="D73" t="s">
        <v>1144</v>
      </c>
      <c r="E73">
        <v>0</v>
      </c>
      <c r="F73" t="s">
        <v>1197</v>
      </c>
      <c r="G73" t="s">
        <v>1345</v>
      </c>
      <c r="H73" t="s">
        <v>1188</v>
      </c>
      <c r="I73" t="s">
        <v>1187</v>
      </c>
      <c r="J73" t="s">
        <v>1187</v>
      </c>
      <c r="K73" t="b">
        <v>1</v>
      </c>
      <c r="L73" t="b">
        <v>0</v>
      </c>
      <c r="M73" t="s">
        <v>1187</v>
      </c>
      <c r="N73" t="s">
        <v>1291</v>
      </c>
      <c r="O73" t="s">
        <v>1190</v>
      </c>
      <c r="P73" t="s">
        <v>1201</v>
      </c>
      <c r="Q73" t="s">
        <v>1346</v>
      </c>
    </row>
    <row r="74" spans="1:17" x14ac:dyDescent="0.25">
      <c r="A74" t="s">
        <v>39</v>
      </c>
      <c r="B74" t="s">
        <v>1347</v>
      </c>
      <c r="C74" t="s">
        <v>277</v>
      </c>
      <c r="D74" t="s">
        <v>1145</v>
      </c>
      <c r="E74">
        <v>11</v>
      </c>
      <c r="F74" t="s">
        <v>1197</v>
      </c>
      <c r="G74" t="s">
        <v>1348</v>
      </c>
      <c r="H74" t="s">
        <v>1188</v>
      </c>
      <c r="I74" t="s">
        <v>1226</v>
      </c>
      <c r="J74" t="s">
        <v>1187</v>
      </c>
      <c r="K74" t="b">
        <v>1</v>
      </c>
      <c r="L74" t="b">
        <v>0</v>
      </c>
      <c r="M74" t="s">
        <v>1187</v>
      </c>
      <c r="N74" t="s">
        <v>1291</v>
      </c>
      <c r="O74" t="s">
        <v>1190</v>
      </c>
      <c r="P74" t="s">
        <v>1201</v>
      </c>
      <c r="Q74" t="s">
        <v>1187</v>
      </c>
    </row>
    <row r="75" spans="1:17" x14ac:dyDescent="0.25">
      <c r="A75" t="s">
        <v>39</v>
      </c>
      <c r="B75" t="s">
        <v>1349</v>
      </c>
      <c r="C75" t="s">
        <v>277</v>
      </c>
      <c r="D75" t="s">
        <v>1146</v>
      </c>
      <c r="E75">
        <v>4</v>
      </c>
      <c r="F75" t="s">
        <v>1197</v>
      </c>
      <c r="G75" t="s">
        <v>1350</v>
      </c>
      <c r="H75" t="s">
        <v>1188</v>
      </c>
      <c r="I75" t="s">
        <v>1217</v>
      </c>
      <c r="J75" t="s">
        <v>1187</v>
      </c>
      <c r="K75" t="b">
        <v>1</v>
      </c>
      <c r="L75" t="b">
        <v>0</v>
      </c>
      <c r="M75" t="s">
        <v>1187</v>
      </c>
      <c r="N75" t="s">
        <v>1291</v>
      </c>
      <c r="O75" t="s">
        <v>1190</v>
      </c>
      <c r="P75" t="s">
        <v>1201</v>
      </c>
      <c r="Q75" t="s">
        <v>1187</v>
      </c>
    </row>
    <row r="76" spans="1:17" x14ac:dyDescent="0.25">
      <c r="A76" t="s">
        <v>39</v>
      </c>
      <c r="B76" t="s">
        <v>1351</v>
      </c>
      <c r="C76" t="s">
        <v>277</v>
      </c>
      <c r="D76" t="s">
        <v>1147</v>
      </c>
      <c r="E76">
        <v>7</v>
      </c>
      <c r="F76" t="s">
        <v>1197</v>
      </c>
      <c r="G76" t="s">
        <v>1352</v>
      </c>
      <c r="H76" t="s">
        <v>1188</v>
      </c>
      <c r="I76" t="s">
        <v>1220</v>
      </c>
      <c r="J76" t="s">
        <v>1187</v>
      </c>
      <c r="K76" t="b">
        <v>1</v>
      </c>
      <c r="L76" t="b">
        <v>0</v>
      </c>
      <c r="M76" t="s">
        <v>1187</v>
      </c>
      <c r="N76" t="s">
        <v>1291</v>
      </c>
      <c r="O76" t="s">
        <v>1190</v>
      </c>
      <c r="P76" t="s">
        <v>1201</v>
      </c>
      <c r="Q76" t="s">
        <v>1187</v>
      </c>
    </row>
    <row r="77" spans="1:17" x14ac:dyDescent="0.25">
      <c r="A77" t="s">
        <v>39</v>
      </c>
      <c r="B77" t="s">
        <v>1353</v>
      </c>
      <c r="C77" t="s">
        <v>277</v>
      </c>
      <c r="D77" t="s">
        <v>1232</v>
      </c>
      <c r="E77">
        <v>-1</v>
      </c>
      <c r="F77" t="s">
        <v>1197</v>
      </c>
      <c r="G77" t="s">
        <v>1354</v>
      </c>
      <c r="H77" t="s">
        <v>1188</v>
      </c>
      <c r="I77" t="s">
        <v>1187</v>
      </c>
      <c r="J77" t="s">
        <v>1187</v>
      </c>
      <c r="K77" t="b">
        <v>1</v>
      </c>
      <c r="L77" t="b">
        <v>0</v>
      </c>
      <c r="M77" t="s">
        <v>1187</v>
      </c>
      <c r="N77" t="s">
        <v>1291</v>
      </c>
      <c r="O77" t="s">
        <v>1190</v>
      </c>
      <c r="P77" t="s">
        <v>1201</v>
      </c>
      <c r="Q77" t="s">
        <v>1355</v>
      </c>
    </row>
    <row r="78" spans="1:17" x14ac:dyDescent="0.25">
      <c r="A78" t="s">
        <v>39</v>
      </c>
      <c r="B78" t="s">
        <v>1356</v>
      </c>
      <c r="C78" t="s">
        <v>279</v>
      </c>
      <c r="D78" t="s">
        <v>1137</v>
      </c>
      <c r="E78">
        <v>-138.2</v>
      </c>
      <c r="F78" t="s">
        <v>1197</v>
      </c>
      <c r="G78" t="s">
        <v>1357</v>
      </c>
      <c r="H78" t="s">
        <v>1188</v>
      </c>
      <c r="I78" t="s">
        <v>1199</v>
      </c>
      <c r="J78" t="s">
        <v>1187</v>
      </c>
      <c r="K78" t="b">
        <v>1</v>
      </c>
      <c r="L78" t="b">
        <v>0</v>
      </c>
      <c r="M78" t="s">
        <v>1187</v>
      </c>
      <c r="N78" t="s">
        <v>1291</v>
      </c>
      <c r="O78" t="s">
        <v>1190</v>
      </c>
      <c r="P78" t="s">
        <v>1201</v>
      </c>
      <c r="Q78" t="s">
        <v>1358</v>
      </c>
    </row>
    <row r="79" spans="1:17" x14ac:dyDescent="0.25">
      <c r="A79" t="s">
        <v>39</v>
      </c>
      <c r="B79" t="s">
        <v>1359</v>
      </c>
      <c r="C79" t="s">
        <v>279</v>
      </c>
      <c r="D79" t="s">
        <v>1138</v>
      </c>
      <c r="E79">
        <v>-152.6</v>
      </c>
      <c r="F79" t="s">
        <v>1197</v>
      </c>
      <c r="G79" t="s">
        <v>1360</v>
      </c>
      <c r="H79" t="s">
        <v>1188</v>
      </c>
      <c r="I79" t="s">
        <v>1205</v>
      </c>
      <c r="J79" t="s">
        <v>1187</v>
      </c>
      <c r="K79" t="b">
        <v>1</v>
      </c>
      <c r="L79" t="b">
        <v>0</v>
      </c>
      <c r="M79" t="s">
        <v>1187</v>
      </c>
      <c r="N79" t="s">
        <v>1291</v>
      </c>
      <c r="O79" t="s">
        <v>1190</v>
      </c>
      <c r="P79" t="s">
        <v>1201</v>
      </c>
      <c r="Q79" t="s">
        <v>1358</v>
      </c>
    </row>
    <row r="80" spans="1:17" x14ac:dyDescent="0.25">
      <c r="A80" t="s">
        <v>39</v>
      </c>
      <c r="B80" t="s">
        <v>1361</v>
      </c>
      <c r="C80" t="s">
        <v>279</v>
      </c>
      <c r="D80" t="s">
        <v>1139</v>
      </c>
      <c r="E80">
        <v>-126</v>
      </c>
      <c r="F80" t="s">
        <v>1197</v>
      </c>
      <c r="G80" t="s">
        <v>1362</v>
      </c>
      <c r="H80" t="s">
        <v>1188</v>
      </c>
      <c r="I80" t="s">
        <v>1208</v>
      </c>
      <c r="J80" t="s">
        <v>1187</v>
      </c>
      <c r="K80" t="b">
        <v>1</v>
      </c>
      <c r="L80" t="b">
        <v>0</v>
      </c>
      <c r="M80" t="s">
        <v>1187</v>
      </c>
      <c r="N80" t="s">
        <v>1291</v>
      </c>
      <c r="O80" t="s">
        <v>1190</v>
      </c>
      <c r="P80" t="s">
        <v>1201</v>
      </c>
      <c r="Q80" t="s">
        <v>1358</v>
      </c>
    </row>
    <row r="81" spans="1:17" x14ac:dyDescent="0.25">
      <c r="A81" t="s">
        <v>39</v>
      </c>
      <c r="B81" t="s">
        <v>1363</v>
      </c>
      <c r="C81" t="s">
        <v>279</v>
      </c>
      <c r="D81" t="s">
        <v>1140</v>
      </c>
      <c r="E81">
        <v>-43.1</v>
      </c>
      <c r="F81" t="s">
        <v>1197</v>
      </c>
      <c r="G81" t="s">
        <v>1364</v>
      </c>
      <c r="H81" t="s">
        <v>1188</v>
      </c>
      <c r="I81" t="s">
        <v>1187</v>
      </c>
      <c r="J81" t="s">
        <v>1187</v>
      </c>
      <c r="K81" t="b">
        <v>1</v>
      </c>
      <c r="L81" t="b">
        <v>0</v>
      </c>
      <c r="M81" t="s">
        <v>1187</v>
      </c>
      <c r="N81" t="s">
        <v>1291</v>
      </c>
      <c r="O81" t="s">
        <v>1190</v>
      </c>
      <c r="P81" t="s">
        <v>1201</v>
      </c>
      <c r="Q81" t="s">
        <v>1365</v>
      </c>
    </row>
    <row r="82" spans="1:17" x14ac:dyDescent="0.25">
      <c r="A82" t="s">
        <v>39</v>
      </c>
      <c r="B82" t="s">
        <v>1366</v>
      </c>
      <c r="C82" t="s">
        <v>279</v>
      </c>
      <c r="D82" t="s">
        <v>1141</v>
      </c>
      <c r="E82">
        <v>-145</v>
      </c>
      <c r="F82" t="s">
        <v>1197</v>
      </c>
      <c r="G82" t="s">
        <v>1367</v>
      </c>
      <c r="H82" t="s">
        <v>1188</v>
      </c>
      <c r="I82" t="s">
        <v>1214</v>
      </c>
      <c r="J82" t="s">
        <v>1187</v>
      </c>
      <c r="K82" t="b">
        <v>1</v>
      </c>
      <c r="L82" t="b">
        <v>0</v>
      </c>
      <c r="M82" t="s">
        <v>1187</v>
      </c>
      <c r="N82" t="s">
        <v>1291</v>
      </c>
      <c r="O82" t="s">
        <v>1190</v>
      </c>
      <c r="P82" t="s">
        <v>1201</v>
      </c>
      <c r="Q82" t="s">
        <v>1358</v>
      </c>
    </row>
    <row r="83" spans="1:17" x14ac:dyDescent="0.25">
      <c r="A83" t="s">
        <v>39</v>
      </c>
      <c r="B83" t="s">
        <v>1368</v>
      </c>
      <c r="C83" t="s">
        <v>279</v>
      </c>
      <c r="D83" t="s">
        <v>1142</v>
      </c>
      <c r="E83">
        <v>-142</v>
      </c>
      <c r="F83" t="s">
        <v>1197</v>
      </c>
      <c r="G83" t="s">
        <v>1369</v>
      </c>
      <c r="H83" t="s">
        <v>1188</v>
      </c>
      <c r="I83" t="s">
        <v>1217</v>
      </c>
      <c r="J83" t="s">
        <v>1187</v>
      </c>
      <c r="K83" t="b">
        <v>1</v>
      </c>
      <c r="L83" t="b">
        <v>0</v>
      </c>
      <c r="M83" t="s">
        <v>1187</v>
      </c>
      <c r="N83" t="s">
        <v>1291</v>
      </c>
      <c r="O83" t="s">
        <v>1190</v>
      </c>
      <c r="P83" t="s">
        <v>1201</v>
      </c>
      <c r="Q83" t="s">
        <v>1358</v>
      </c>
    </row>
    <row r="84" spans="1:17" x14ac:dyDescent="0.25">
      <c r="A84" t="s">
        <v>39</v>
      </c>
      <c r="B84" t="s">
        <v>1370</v>
      </c>
      <c r="C84" t="s">
        <v>279</v>
      </c>
      <c r="D84" t="s">
        <v>1143</v>
      </c>
      <c r="E84">
        <v>-81</v>
      </c>
      <c r="F84" t="s">
        <v>1197</v>
      </c>
      <c r="G84" t="s">
        <v>1371</v>
      </c>
      <c r="H84" t="s">
        <v>1188</v>
      </c>
      <c r="I84" t="s">
        <v>1220</v>
      </c>
      <c r="J84" t="s">
        <v>1187</v>
      </c>
      <c r="K84" t="b">
        <v>1</v>
      </c>
      <c r="L84" t="b">
        <v>0</v>
      </c>
      <c r="M84" t="s">
        <v>1187</v>
      </c>
      <c r="N84" t="s">
        <v>1291</v>
      </c>
      <c r="O84" t="s">
        <v>1190</v>
      </c>
      <c r="P84" t="s">
        <v>1201</v>
      </c>
      <c r="Q84" t="s">
        <v>1358</v>
      </c>
    </row>
    <row r="85" spans="1:17" x14ac:dyDescent="0.25">
      <c r="A85" t="s">
        <v>39</v>
      </c>
      <c r="B85" t="s">
        <v>1372</v>
      </c>
      <c r="C85" t="s">
        <v>279</v>
      </c>
      <c r="D85" t="s">
        <v>1144</v>
      </c>
      <c r="E85">
        <v>-20</v>
      </c>
      <c r="F85" t="s">
        <v>1197</v>
      </c>
      <c r="G85" t="s">
        <v>1373</v>
      </c>
      <c r="H85" t="s">
        <v>1188</v>
      </c>
      <c r="I85" t="s">
        <v>1187</v>
      </c>
      <c r="J85" t="s">
        <v>1187</v>
      </c>
      <c r="K85" t="b">
        <v>1</v>
      </c>
      <c r="L85" t="b">
        <v>0</v>
      </c>
      <c r="M85" t="s">
        <v>1187</v>
      </c>
      <c r="N85" t="s">
        <v>1291</v>
      </c>
      <c r="O85" t="s">
        <v>1190</v>
      </c>
      <c r="P85" t="s">
        <v>1201</v>
      </c>
      <c r="Q85" t="s">
        <v>1374</v>
      </c>
    </row>
    <row r="86" spans="1:17" x14ac:dyDescent="0.25">
      <c r="A86" t="s">
        <v>39</v>
      </c>
      <c r="B86" t="s">
        <v>1375</v>
      </c>
      <c r="C86" t="s">
        <v>279</v>
      </c>
      <c r="D86" t="s">
        <v>1145</v>
      </c>
      <c r="E86">
        <v>-170</v>
      </c>
      <c r="F86" t="s">
        <v>1197</v>
      </c>
      <c r="G86" t="s">
        <v>1376</v>
      </c>
      <c r="H86" t="s">
        <v>1188</v>
      </c>
      <c r="I86" t="s">
        <v>1226</v>
      </c>
      <c r="J86" t="s">
        <v>1187</v>
      </c>
      <c r="K86" t="b">
        <v>1</v>
      </c>
      <c r="L86" t="b">
        <v>0</v>
      </c>
      <c r="M86" t="s">
        <v>1187</v>
      </c>
      <c r="N86" t="s">
        <v>1291</v>
      </c>
      <c r="O86" t="s">
        <v>1190</v>
      </c>
      <c r="P86" t="s">
        <v>1201</v>
      </c>
      <c r="Q86" t="s">
        <v>1358</v>
      </c>
    </row>
    <row r="87" spans="1:17" x14ac:dyDescent="0.25">
      <c r="A87" t="s">
        <v>39</v>
      </c>
      <c r="B87" t="s">
        <v>1377</v>
      </c>
      <c r="C87" t="s">
        <v>279</v>
      </c>
      <c r="D87" t="s">
        <v>1146</v>
      </c>
      <c r="E87">
        <v>-170</v>
      </c>
      <c r="F87" t="s">
        <v>1197</v>
      </c>
      <c r="G87" t="s">
        <v>1376</v>
      </c>
      <c r="H87" t="s">
        <v>1188</v>
      </c>
      <c r="I87" t="s">
        <v>1217</v>
      </c>
      <c r="J87" t="s">
        <v>1187</v>
      </c>
      <c r="K87" t="b">
        <v>1</v>
      </c>
      <c r="L87" t="b">
        <v>0</v>
      </c>
      <c r="M87" t="s">
        <v>1187</v>
      </c>
      <c r="N87" t="s">
        <v>1291</v>
      </c>
      <c r="O87" t="s">
        <v>1190</v>
      </c>
      <c r="P87" t="s">
        <v>1201</v>
      </c>
      <c r="Q87" t="s">
        <v>1358</v>
      </c>
    </row>
    <row r="88" spans="1:17" x14ac:dyDescent="0.25">
      <c r="A88" t="s">
        <v>39</v>
      </c>
      <c r="B88" t="s">
        <v>1378</v>
      </c>
      <c r="C88" t="s">
        <v>279</v>
      </c>
      <c r="D88" t="s">
        <v>1147</v>
      </c>
      <c r="E88">
        <v>-95</v>
      </c>
      <c r="F88" t="s">
        <v>1197</v>
      </c>
      <c r="G88" t="s">
        <v>1379</v>
      </c>
      <c r="H88" t="s">
        <v>1188</v>
      </c>
      <c r="I88" t="s">
        <v>1220</v>
      </c>
      <c r="J88" t="s">
        <v>1187</v>
      </c>
      <c r="K88" t="b">
        <v>1</v>
      </c>
      <c r="L88" t="b">
        <v>0</v>
      </c>
      <c r="M88" t="s">
        <v>1187</v>
      </c>
      <c r="N88" t="s">
        <v>1291</v>
      </c>
      <c r="O88" t="s">
        <v>1190</v>
      </c>
      <c r="P88" t="s">
        <v>1201</v>
      </c>
      <c r="Q88" t="s">
        <v>1358</v>
      </c>
    </row>
    <row r="89" spans="1:17" x14ac:dyDescent="0.25">
      <c r="A89" t="s">
        <v>39</v>
      </c>
      <c r="B89" t="s">
        <v>1380</v>
      </c>
      <c r="C89" t="s">
        <v>279</v>
      </c>
      <c r="D89" t="s">
        <v>1232</v>
      </c>
      <c r="E89">
        <v>-20</v>
      </c>
      <c r="F89" t="s">
        <v>1197</v>
      </c>
      <c r="G89" t="s">
        <v>1373</v>
      </c>
      <c r="H89" t="s">
        <v>1188</v>
      </c>
      <c r="I89" t="s">
        <v>1187</v>
      </c>
      <c r="J89" t="s">
        <v>1187</v>
      </c>
      <c r="K89" t="b">
        <v>1</v>
      </c>
      <c r="L89" t="b">
        <v>0</v>
      </c>
      <c r="M89" t="s">
        <v>1187</v>
      </c>
      <c r="N89" t="s">
        <v>1291</v>
      </c>
      <c r="O89" t="s">
        <v>1190</v>
      </c>
      <c r="P89" t="s">
        <v>1201</v>
      </c>
      <c r="Q89" t="s">
        <v>1381</v>
      </c>
    </row>
    <row r="90" spans="1:17" x14ac:dyDescent="0.25">
      <c r="A90" t="s">
        <v>39</v>
      </c>
      <c r="B90" t="s">
        <v>1382</v>
      </c>
      <c r="C90" t="s">
        <v>283</v>
      </c>
      <c r="D90" t="s">
        <v>1137</v>
      </c>
      <c r="E90">
        <v>0</v>
      </c>
      <c r="F90" t="s">
        <v>1290</v>
      </c>
      <c r="G90" t="s">
        <v>1383</v>
      </c>
      <c r="H90" t="s">
        <v>1188</v>
      </c>
      <c r="I90" t="s">
        <v>1187</v>
      </c>
      <c r="J90" t="s">
        <v>1187</v>
      </c>
      <c r="K90" t="b">
        <v>1</v>
      </c>
      <c r="L90" t="b">
        <v>0</v>
      </c>
      <c r="M90" t="s">
        <v>1187</v>
      </c>
      <c r="N90" t="s">
        <v>1291</v>
      </c>
      <c r="O90" t="s">
        <v>1190</v>
      </c>
      <c r="P90" t="s">
        <v>1201</v>
      </c>
      <c r="Q90" t="s">
        <v>1384</v>
      </c>
    </row>
    <row r="91" spans="1:17" x14ac:dyDescent="0.25">
      <c r="A91" t="s">
        <v>39</v>
      </c>
      <c r="B91" t="s">
        <v>1385</v>
      </c>
      <c r="C91" t="s">
        <v>283</v>
      </c>
      <c r="D91" t="s">
        <v>1138</v>
      </c>
      <c r="E91">
        <v>0</v>
      </c>
      <c r="F91" t="s">
        <v>1290</v>
      </c>
      <c r="G91" t="s">
        <v>1383</v>
      </c>
      <c r="H91" t="s">
        <v>1188</v>
      </c>
      <c r="I91" t="s">
        <v>1187</v>
      </c>
      <c r="J91" t="s">
        <v>1187</v>
      </c>
      <c r="K91" t="b">
        <v>1</v>
      </c>
      <c r="L91" t="b">
        <v>0</v>
      </c>
      <c r="M91" t="s">
        <v>1187</v>
      </c>
      <c r="N91" t="s">
        <v>1291</v>
      </c>
      <c r="O91" t="s">
        <v>1190</v>
      </c>
      <c r="P91" t="s">
        <v>1201</v>
      </c>
      <c r="Q91" t="s">
        <v>1384</v>
      </c>
    </row>
    <row r="92" spans="1:17" x14ac:dyDescent="0.25">
      <c r="A92" t="s">
        <v>39</v>
      </c>
      <c r="B92" t="s">
        <v>1386</v>
      </c>
      <c r="C92" t="s">
        <v>283</v>
      </c>
      <c r="D92" t="s">
        <v>1139</v>
      </c>
      <c r="E92">
        <v>0</v>
      </c>
      <c r="F92" t="s">
        <v>1290</v>
      </c>
      <c r="G92" t="s">
        <v>1383</v>
      </c>
      <c r="H92" t="s">
        <v>1188</v>
      </c>
      <c r="I92" t="s">
        <v>1187</v>
      </c>
      <c r="J92" t="s">
        <v>1187</v>
      </c>
      <c r="K92" t="b">
        <v>1</v>
      </c>
      <c r="L92" t="b">
        <v>0</v>
      </c>
      <c r="M92" t="s">
        <v>1187</v>
      </c>
      <c r="N92" t="s">
        <v>1291</v>
      </c>
      <c r="O92" t="s">
        <v>1190</v>
      </c>
      <c r="P92" t="s">
        <v>1201</v>
      </c>
      <c r="Q92" t="s">
        <v>1384</v>
      </c>
    </row>
    <row r="93" spans="1:17" x14ac:dyDescent="0.25">
      <c r="A93" t="s">
        <v>39</v>
      </c>
      <c r="B93" t="s">
        <v>1387</v>
      </c>
      <c r="C93" t="s">
        <v>283</v>
      </c>
      <c r="D93" t="s">
        <v>1140</v>
      </c>
      <c r="E93">
        <v>0</v>
      </c>
      <c r="F93" t="s">
        <v>1290</v>
      </c>
      <c r="G93" t="s">
        <v>1383</v>
      </c>
      <c r="H93" t="s">
        <v>1188</v>
      </c>
      <c r="I93" t="s">
        <v>1187</v>
      </c>
      <c r="J93" t="s">
        <v>1187</v>
      </c>
      <c r="K93" t="b">
        <v>1</v>
      </c>
      <c r="L93" t="b">
        <v>0</v>
      </c>
      <c r="M93" t="s">
        <v>1187</v>
      </c>
      <c r="N93" t="s">
        <v>1291</v>
      </c>
      <c r="O93" t="s">
        <v>1190</v>
      </c>
      <c r="P93" t="s">
        <v>1201</v>
      </c>
      <c r="Q93" t="s">
        <v>1384</v>
      </c>
    </row>
    <row r="94" spans="1:17" x14ac:dyDescent="0.25">
      <c r="A94" t="s">
        <v>39</v>
      </c>
      <c r="B94" t="s">
        <v>1388</v>
      </c>
      <c r="C94" t="s">
        <v>283</v>
      </c>
      <c r="D94" t="s">
        <v>1141</v>
      </c>
      <c r="E94">
        <v>0</v>
      </c>
      <c r="F94" t="s">
        <v>1290</v>
      </c>
      <c r="G94" t="s">
        <v>1383</v>
      </c>
      <c r="H94" t="s">
        <v>1188</v>
      </c>
      <c r="I94" t="s">
        <v>1187</v>
      </c>
      <c r="J94" t="s">
        <v>1187</v>
      </c>
      <c r="K94" t="b">
        <v>1</v>
      </c>
      <c r="L94" t="b">
        <v>0</v>
      </c>
      <c r="M94" t="s">
        <v>1187</v>
      </c>
      <c r="N94" t="s">
        <v>1291</v>
      </c>
      <c r="O94" t="s">
        <v>1190</v>
      </c>
      <c r="P94" t="s">
        <v>1201</v>
      </c>
      <c r="Q94" t="s">
        <v>1384</v>
      </c>
    </row>
    <row r="95" spans="1:17" x14ac:dyDescent="0.25">
      <c r="A95" t="s">
        <v>39</v>
      </c>
      <c r="B95" t="s">
        <v>1389</v>
      </c>
      <c r="C95" t="s">
        <v>283</v>
      </c>
      <c r="D95" t="s">
        <v>1142</v>
      </c>
      <c r="E95">
        <v>0</v>
      </c>
      <c r="F95" t="s">
        <v>1290</v>
      </c>
      <c r="G95" t="s">
        <v>1383</v>
      </c>
      <c r="H95" t="s">
        <v>1188</v>
      </c>
      <c r="I95" t="s">
        <v>1187</v>
      </c>
      <c r="J95" t="s">
        <v>1187</v>
      </c>
      <c r="K95" t="b">
        <v>1</v>
      </c>
      <c r="L95" t="b">
        <v>0</v>
      </c>
      <c r="M95" t="s">
        <v>1187</v>
      </c>
      <c r="N95" t="s">
        <v>1291</v>
      </c>
      <c r="O95" t="s">
        <v>1190</v>
      </c>
      <c r="P95" t="s">
        <v>1201</v>
      </c>
      <c r="Q95" t="s">
        <v>1384</v>
      </c>
    </row>
    <row r="96" spans="1:17" x14ac:dyDescent="0.25">
      <c r="A96" t="s">
        <v>39</v>
      </c>
      <c r="B96" t="s">
        <v>1390</v>
      </c>
      <c r="C96" t="s">
        <v>283</v>
      </c>
      <c r="D96" t="s">
        <v>1143</v>
      </c>
      <c r="E96">
        <v>0</v>
      </c>
      <c r="F96" t="s">
        <v>1290</v>
      </c>
      <c r="G96" t="s">
        <v>1383</v>
      </c>
      <c r="H96" t="s">
        <v>1188</v>
      </c>
      <c r="I96" t="s">
        <v>1187</v>
      </c>
      <c r="J96" t="s">
        <v>1187</v>
      </c>
      <c r="K96" t="b">
        <v>1</v>
      </c>
      <c r="L96" t="b">
        <v>0</v>
      </c>
      <c r="M96" t="s">
        <v>1187</v>
      </c>
      <c r="N96" t="s">
        <v>1291</v>
      </c>
      <c r="O96" t="s">
        <v>1190</v>
      </c>
      <c r="P96" t="s">
        <v>1201</v>
      </c>
      <c r="Q96" t="s">
        <v>1384</v>
      </c>
    </row>
    <row r="97" spans="1:17" x14ac:dyDescent="0.25">
      <c r="A97" t="s">
        <v>39</v>
      </c>
      <c r="B97" t="s">
        <v>1391</v>
      </c>
      <c r="C97" t="s">
        <v>283</v>
      </c>
      <c r="D97" t="s">
        <v>1144</v>
      </c>
      <c r="E97">
        <v>0</v>
      </c>
      <c r="F97" t="s">
        <v>1290</v>
      </c>
      <c r="G97" t="s">
        <v>1383</v>
      </c>
      <c r="H97" t="s">
        <v>1188</v>
      </c>
      <c r="I97" t="s">
        <v>1187</v>
      </c>
      <c r="J97" t="s">
        <v>1187</v>
      </c>
      <c r="K97" t="b">
        <v>1</v>
      </c>
      <c r="L97" t="b">
        <v>0</v>
      </c>
      <c r="M97" t="s">
        <v>1187</v>
      </c>
      <c r="N97" t="s">
        <v>1291</v>
      </c>
      <c r="O97" t="s">
        <v>1190</v>
      </c>
      <c r="P97" t="s">
        <v>1201</v>
      </c>
      <c r="Q97" t="s">
        <v>1384</v>
      </c>
    </row>
    <row r="98" spans="1:17" x14ac:dyDescent="0.25">
      <c r="A98" t="s">
        <v>39</v>
      </c>
      <c r="B98" t="s">
        <v>1392</v>
      </c>
      <c r="C98" t="s">
        <v>331</v>
      </c>
      <c r="D98" t="s">
        <v>1137</v>
      </c>
      <c r="E98">
        <v>132.2</v>
      </c>
      <c r="F98" t="s">
        <v>1197</v>
      </c>
      <c r="G98" t="s">
        <v>1393</v>
      </c>
      <c r="H98" t="s">
        <v>1394</v>
      </c>
      <c r="I98" t="s">
        <v>1199</v>
      </c>
      <c r="J98" t="s">
        <v>1187</v>
      </c>
      <c r="K98" t="b">
        <v>1</v>
      </c>
      <c r="L98" t="b">
        <v>0</v>
      </c>
      <c r="M98" t="s">
        <v>1187</v>
      </c>
      <c r="N98" t="s">
        <v>1291</v>
      </c>
      <c r="O98" t="s">
        <v>1190</v>
      </c>
      <c r="P98" t="s">
        <v>1201</v>
      </c>
      <c r="Q98" t="s">
        <v>1395</v>
      </c>
    </row>
    <row r="99" spans="1:17" x14ac:dyDescent="0.25">
      <c r="A99" t="s">
        <v>39</v>
      </c>
      <c r="B99" t="s">
        <v>1396</v>
      </c>
      <c r="C99" t="s">
        <v>331</v>
      </c>
      <c r="D99" t="s">
        <v>1138</v>
      </c>
      <c r="E99">
        <v>181.6</v>
      </c>
      <c r="F99" t="s">
        <v>1197</v>
      </c>
      <c r="G99" t="s">
        <v>1397</v>
      </c>
      <c r="H99" t="s">
        <v>1394</v>
      </c>
      <c r="I99" t="s">
        <v>1205</v>
      </c>
      <c r="J99" t="s">
        <v>1187</v>
      </c>
      <c r="K99" t="b">
        <v>1</v>
      </c>
      <c r="L99" t="b">
        <v>0</v>
      </c>
      <c r="M99" t="s">
        <v>1187</v>
      </c>
      <c r="N99" t="s">
        <v>1291</v>
      </c>
      <c r="O99" t="s">
        <v>1190</v>
      </c>
      <c r="P99" t="s">
        <v>1201</v>
      </c>
      <c r="Q99" t="s">
        <v>1395</v>
      </c>
    </row>
    <row r="100" spans="1:17" x14ac:dyDescent="0.25">
      <c r="A100" t="s">
        <v>39</v>
      </c>
      <c r="B100" t="s">
        <v>1398</v>
      </c>
      <c r="C100" t="s">
        <v>331</v>
      </c>
      <c r="D100" t="s">
        <v>1139</v>
      </c>
      <c r="E100">
        <v>157.5</v>
      </c>
      <c r="F100" t="s">
        <v>1197</v>
      </c>
      <c r="G100" t="s">
        <v>1399</v>
      </c>
      <c r="H100" t="s">
        <v>1394</v>
      </c>
      <c r="I100" t="s">
        <v>1208</v>
      </c>
      <c r="J100" t="s">
        <v>1187</v>
      </c>
      <c r="K100" t="b">
        <v>1</v>
      </c>
      <c r="L100" t="b">
        <v>0</v>
      </c>
      <c r="M100" t="s">
        <v>1187</v>
      </c>
      <c r="N100" t="s">
        <v>1291</v>
      </c>
      <c r="O100" t="s">
        <v>1190</v>
      </c>
      <c r="P100" t="s">
        <v>1201</v>
      </c>
      <c r="Q100" t="s">
        <v>1395</v>
      </c>
    </row>
    <row r="101" spans="1:17" x14ac:dyDescent="0.25">
      <c r="A101" t="s">
        <v>39</v>
      </c>
      <c r="B101" t="s">
        <v>1400</v>
      </c>
      <c r="C101" t="s">
        <v>331</v>
      </c>
      <c r="D101" t="s">
        <v>1140</v>
      </c>
      <c r="E101">
        <v>140</v>
      </c>
      <c r="F101" t="s">
        <v>1197</v>
      </c>
      <c r="G101" t="s">
        <v>1401</v>
      </c>
      <c r="H101" t="s">
        <v>1394</v>
      </c>
      <c r="I101" t="s">
        <v>1402</v>
      </c>
      <c r="J101" t="s">
        <v>1187</v>
      </c>
      <c r="K101" t="b">
        <v>1</v>
      </c>
      <c r="L101" t="b">
        <v>0</v>
      </c>
      <c r="M101" t="s">
        <v>1187</v>
      </c>
      <c r="N101" t="s">
        <v>1291</v>
      </c>
      <c r="O101" t="s">
        <v>1190</v>
      </c>
      <c r="P101" t="s">
        <v>1201</v>
      </c>
      <c r="Q101" t="s">
        <v>1395</v>
      </c>
    </row>
    <row r="102" spans="1:17" x14ac:dyDescent="0.25">
      <c r="A102" t="s">
        <v>39</v>
      </c>
      <c r="B102" t="s">
        <v>1403</v>
      </c>
      <c r="C102" t="s">
        <v>331</v>
      </c>
      <c r="D102" t="s">
        <v>1141</v>
      </c>
      <c r="E102">
        <v>92</v>
      </c>
      <c r="F102" t="s">
        <v>1197</v>
      </c>
      <c r="G102" t="s">
        <v>1404</v>
      </c>
      <c r="H102" t="s">
        <v>1394</v>
      </c>
      <c r="I102" t="s">
        <v>1214</v>
      </c>
      <c r="J102" t="s">
        <v>1187</v>
      </c>
      <c r="K102" t="b">
        <v>1</v>
      </c>
      <c r="L102" t="b">
        <v>0</v>
      </c>
      <c r="M102" t="s">
        <v>1187</v>
      </c>
      <c r="N102" t="s">
        <v>1291</v>
      </c>
      <c r="O102" t="s">
        <v>1190</v>
      </c>
      <c r="P102" t="s">
        <v>1201</v>
      </c>
      <c r="Q102" t="s">
        <v>1395</v>
      </c>
    </row>
    <row r="103" spans="1:17" x14ac:dyDescent="0.25">
      <c r="A103" t="s">
        <v>39</v>
      </c>
      <c r="B103" t="s">
        <v>1405</v>
      </c>
      <c r="C103" t="s">
        <v>331</v>
      </c>
      <c r="D103" t="s">
        <v>1142</v>
      </c>
      <c r="E103">
        <v>491</v>
      </c>
      <c r="F103" t="s">
        <v>1197</v>
      </c>
      <c r="G103" t="s">
        <v>1406</v>
      </c>
      <c r="H103" t="s">
        <v>1394</v>
      </c>
      <c r="I103" t="s">
        <v>1217</v>
      </c>
      <c r="J103" t="s">
        <v>1187</v>
      </c>
      <c r="K103" t="b">
        <v>1</v>
      </c>
      <c r="L103" t="b">
        <v>0</v>
      </c>
      <c r="M103" t="s">
        <v>1187</v>
      </c>
      <c r="N103" t="s">
        <v>1291</v>
      </c>
      <c r="O103" t="s">
        <v>1190</v>
      </c>
      <c r="P103" t="s">
        <v>1201</v>
      </c>
      <c r="Q103" t="s">
        <v>1395</v>
      </c>
    </row>
    <row r="104" spans="1:17" x14ac:dyDescent="0.25">
      <c r="A104" t="s">
        <v>39</v>
      </c>
      <c r="B104" t="s">
        <v>1407</v>
      </c>
      <c r="C104" t="s">
        <v>331</v>
      </c>
      <c r="D104" t="s">
        <v>1143</v>
      </c>
      <c r="E104">
        <v>83</v>
      </c>
      <c r="F104" t="s">
        <v>1197</v>
      </c>
      <c r="G104" t="s">
        <v>1408</v>
      </c>
      <c r="H104" t="s">
        <v>1394</v>
      </c>
      <c r="I104" t="s">
        <v>1220</v>
      </c>
      <c r="J104" t="s">
        <v>1187</v>
      </c>
      <c r="K104" t="b">
        <v>1</v>
      </c>
      <c r="L104" t="b">
        <v>0</v>
      </c>
      <c r="M104" t="s">
        <v>1187</v>
      </c>
      <c r="N104" t="s">
        <v>1291</v>
      </c>
      <c r="O104" t="s">
        <v>1190</v>
      </c>
      <c r="P104" t="s">
        <v>1201</v>
      </c>
      <c r="Q104" t="s">
        <v>1395</v>
      </c>
    </row>
    <row r="105" spans="1:17" x14ac:dyDescent="0.25">
      <c r="A105" t="s">
        <v>39</v>
      </c>
      <c r="B105" t="s">
        <v>1409</v>
      </c>
      <c r="C105" t="s">
        <v>331</v>
      </c>
      <c r="D105" t="s">
        <v>1144</v>
      </c>
      <c r="E105">
        <v>74</v>
      </c>
      <c r="F105" t="s">
        <v>1197</v>
      </c>
      <c r="G105" t="s">
        <v>1410</v>
      </c>
      <c r="H105" t="s">
        <v>1394</v>
      </c>
      <c r="I105" t="s">
        <v>1402</v>
      </c>
      <c r="J105" t="s">
        <v>1187</v>
      </c>
      <c r="K105" t="b">
        <v>1</v>
      </c>
      <c r="L105" t="b">
        <v>0</v>
      </c>
      <c r="M105" t="s">
        <v>1187</v>
      </c>
      <c r="N105" t="s">
        <v>1291</v>
      </c>
      <c r="O105" t="s">
        <v>1190</v>
      </c>
      <c r="P105" t="s">
        <v>1201</v>
      </c>
      <c r="Q105" t="s">
        <v>1395</v>
      </c>
    </row>
    <row r="106" spans="1:17" x14ac:dyDescent="0.25">
      <c r="A106" t="s">
        <v>39</v>
      </c>
      <c r="B106" t="s">
        <v>1411</v>
      </c>
      <c r="C106" t="s">
        <v>331</v>
      </c>
      <c r="D106" t="s">
        <v>1145</v>
      </c>
      <c r="E106">
        <v>83</v>
      </c>
      <c r="F106" t="s">
        <v>1197</v>
      </c>
      <c r="G106" t="s">
        <v>1408</v>
      </c>
      <c r="H106" t="s">
        <v>1394</v>
      </c>
      <c r="I106" t="s">
        <v>1226</v>
      </c>
      <c r="J106" t="s">
        <v>1187</v>
      </c>
      <c r="K106" t="b">
        <v>1</v>
      </c>
      <c r="L106" t="b">
        <v>0</v>
      </c>
      <c r="M106" t="s">
        <v>1187</v>
      </c>
      <c r="N106" t="s">
        <v>1291</v>
      </c>
      <c r="O106" t="s">
        <v>1190</v>
      </c>
      <c r="P106" t="s">
        <v>1201</v>
      </c>
      <c r="Q106" t="s">
        <v>1395</v>
      </c>
    </row>
    <row r="107" spans="1:17" x14ac:dyDescent="0.25">
      <c r="A107" t="s">
        <v>39</v>
      </c>
      <c r="B107" t="s">
        <v>1412</v>
      </c>
      <c r="C107" t="s">
        <v>331</v>
      </c>
      <c r="D107" t="s">
        <v>1146</v>
      </c>
      <c r="E107">
        <v>122</v>
      </c>
      <c r="F107" t="s">
        <v>1197</v>
      </c>
      <c r="G107" t="s">
        <v>1413</v>
      </c>
      <c r="H107" t="s">
        <v>1394</v>
      </c>
      <c r="I107" t="s">
        <v>1217</v>
      </c>
      <c r="J107" t="s">
        <v>1187</v>
      </c>
      <c r="K107" t="b">
        <v>1</v>
      </c>
      <c r="L107" t="b">
        <v>0</v>
      </c>
      <c r="M107" t="s">
        <v>1187</v>
      </c>
      <c r="N107" t="s">
        <v>1291</v>
      </c>
      <c r="O107" t="s">
        <v>1190</v>
      </c>
      <c r="P107" t="s">
        <v>1201</v>
      </c>
      <c r="Q107" t="s">
        <v>1395</v>
      </c>
    </row>
    <row r="108" spans="1:17" x14ac:dyDescent="0.25">
      <c r="A108" t="s">
        <v>39</v>
      </c>
      <c r="B108" t="s">
        <v>1414</v>
      </c>
      <c r="C108" t="s">
        <v>331</v>
      </c>
      <c r="D108" t="s">
        <v>1147</v>
      </c>
      <c r="E108">
        <v>84</v>
      </c>
      <c r="F108" t="s">
        <v>1197</v>
      </c>
      <c r="G108" t="s">
        <v>1415</v>
      </c>
      <c r="H108" t="s">
        <v>1394</v>
      </c>
      <c r="I108" t="s">
        <v>1220</v>
      </c>
      <c r="J108" t="s">
        <v>1187</v>
      </c>
      <c r="K108" t="b">
        <v>1</v>
      </c>
      <c r="L108" t="b">
        <v>0</v>
      </c>
      <c r="M108" t="s">
        <v>1187</v>
      </c>
      <c r="N108" t="s">
        <v>1291</v>
      </c>
      <c r="O108" t="s">
        <v>1190</v>
      </c>
      <c r="P108" t="s">
        <v>1201</v>
      </c>
      <c r="Q108" t="s">
        <v>1395</v>
      </c>
    </row>
    <row r="109" spans="1:17" x14ac:dyDescent="0.25">
      <c r="A109" t="s">
        <v>39</v>
      </c>
      <c r="B109" t="s">
        <v>1416</v>
      </c>
      <c r="C109" t="s">
        <v>331</v>
      </c>
      <c r="D109" t="s">
        <v>1232</v>
      </c>
      <c r="E109">
        <v>76</v>
      </c>
      <c r="F109" t="s">
        <v>1197</v>
      </c>
      <c r="G109" t="s">
        <v>1417</v>
      </c>
      <c r="H109" t="s">
        <v>1394</v>
      </c>
      <c r="I109" t="s">
        <v>1402</v>
      </c>
      <c r="J109" t="s">
        <v>1187</v>
      </c>
      <c r="K109" t="b">
        <v>1</v>
      </c>
      <c r="L109" t="b">
        <v>0</v>
      </c>
      <c r="M109" t="s">
        <v>1187</v>
      </c>
      <c r="N109" t="s">
        <v>1291</v>
      </c>
      <c r="O109" t="s">
        <v>1190</v>
      </c>
      <c r="P109" t="s">
        <v>1201</v>
      </c>
      <c r="Q109" t="s">
        <v>1395</v>
      </c>
    </row>
    <row r="110" spans="1:17" x14ac:dyDescent="0.25">
      <c r="A110" t="s">
        <v>39</v>
      </c>
      <c r="B110" t="s">
        <v>1418</v>
      </c>
      <c r="C110" t="s">
        <v>332</v>
      </c>
      <c r="D110" t="s">
        <v>1137</v>
      </c>
      <c r="E110">
        <v>1686.4</v>
      </c>
      <c r="F110" t="s">
        <v>1290</v>
      </c>
      <c r="G110" t="s">
        <v>1419</v>
      </c>
      <c r="H110" t="s">
        <v>1394</v>
      </c>
      <c r="I110" t="s">
        <v>1420</v>
      </c>
      <c r="J110" t="s">
        <v>1187</v>
      </c>
      <c r="K110" t="b">
        <v>1</v>
      </c>
      <c r="L110" t="b">
        <v>0</v>
      </c>
      <c r="M110" t="s">
        <v>1187</v>
      </c>
      <c r="N110" t="s">
        <v>1291</v>
      </c>
      <c r="O110" t="s">
        <v>1190</v>
      </c>
      <c r="P110" t="s">
        <v>1201</v>
      </c>
      <c r="Q110" t="s">
        <v>1421</v>
      </c>
    </row>
    <row r="111" spans="1:17" x14ac:dyDescent="0.25">
      <c r="A111" t="s">
        <v>39</v>
      </c>
      <c r="B111" t="s">
        <v>1422</v>
      </c>
      <c r="C111" t="s">
        <v>332</v>
      </c>
      <c r="D111" t="s">
        <v>1138</v>
      </c>
      <c r="E111">
        <v>1740</v>
      </c>
      <c r="F111" t="s">
        <v>1290</v>
      </c>
      <c r="G111" t="s">
        <v>1423</v>
      </c>
      <c r="H111" t="s">
        <v>1394</v>
      </c>
      <c r="I111" t="s">
        <v>1424</v>
      </c>
      <c r="J111" t="s">
        <v>1187</v>
      </c>
      <c r="K111" t="b">
        <v>1</v>
      </c>
      <c r="L111" t="b">
        <v>0</v>
      </c>
      <c r="M111" t="s">
        <v>1187</v>
      </c>
      <c r="N111" t="s">
        <v>1291</v>
      </c>
      <c r="O111" t="s">
        <v>1190</v>
      </c>
      <c r="P111" t="s">
        <v>1201</v>
      </c>
      <c r="Q111" t="s">
        <v>1421</v>
      </c>
    </row>
    <row r="112" spans="1:17" x14ac:dyDescent="0.25">
      <c r="A112" t="s">
        <v>39</v>
      </c>
      <c r="B112" t="s">
        <v>1425</v>
      </c>
      <c r="C112" t="s">
        <v>332</v>
      </c>
      <c r="D112" t="s">
        <v>1139</v>
      </c>
      <c r="E112">
        <v>1829.7</v>
      </c>
      <c r="F112" t="s">
        <v>1290</v>
      </c>
      <c r="G112" t="s">
        <v>1426</v>
      </c>
      <c r="H112" t="s">
        <v>1394</v>
      </c>
      <c r="I112" t="s">
        <v>1427</v>
      </c>
      <c r="J112" t="s">
        <v>1187</v>
      </c>
      <c r="K112" t="b">
        <v>1</v>
      </c>
      <c r="L112" t="b">
        <v>0</v>
      </c>
      <c r="M112" t="s">
        <v>1187</v>
      </c>
      <c r="N112" t="s">
        <v>1291</v>
      </c>
      <c r="O112" t="s">
        <v>1190</v>
      </c>
      <c r="P112" t="s">
        <v>1201</v>
      </c>
      <c r="Q112" t="s">
        <v>1421</v>
      </c>
    </row>
    <row r="113" spans="1:17" x14ac:dyDescent="0.25">
      <c r="A113" t="s">
        <v>39</v>
      </c>
      <c r="B113" t="s">
        <v>1428</v>
      </c>
      <c r="C113" t="s">
        <v>332</v>
      </c>
      <c r="D113" t="s">
        <v>1140</v>
      </c>
      <c r="E113">
        <v>1768</v>
      </c>
      <c r="F113" t="s">
        <v>1290</v>
      </c>
      <c r="G113" t="s">
        <v>1429</v>
      </c>
      <c r="H113" t="s">
        <v>1394</v>
      </c>
      <c r="I113" t="s">
        <v>1430</v>
      </c>
      <c r="J113" t="s">
        <v>1187</v>
      </c>
      <c r="K113" t="b">
        <v>1</v>
      </c>
      <c r="L113" t="b">
        <v>0</v>
      </c>
      <c r="M113" t="s">
        <v>1187</v>
      </c>
      <c r="N113" t="s">
        <v>1291</v>
      </c>
      <c r="O113" t="s">
        <v>1190</v>
      </c>
      <c r="P113" t="s">
        <v>1201</v>
      </c>
      <c r="Q113" t="s">
        <v>1421</v>
      </c>
    </row>
    <row r="114" spans="1:17" x14ac:dyDescent="0.25">
      <c r="A114" t="s">
        <v>39</v>
      </c>
      <c r="B114" t="s">
        <v>1431</v>
      </c>
      <c r="C114" t="s">
        <v>332</v>
      </c>
      <c r="D114" t="s">
        <v>1141</v>
      </c>
      <c r="E114">
        <v>1763</v>
      </c>
      <c r="F114" t="s">
        <v>1290</v>
      </c>
      <c r="G114" t="s">
        <v>1432</v>
      </c>
      <c r="H114" t="s">
        <v>1394</v>
      </c>
      <c r="I114" t="s">
        <v>1199</v>
      </c>
      <c r="J114" t="s">
        <v>1187</v>
      </c>
      <c r="K114" t="b">
        <v>1</v>
      </c>
      <c r="L114" t="b">
        <v>0</v>
      </c>
      <c r="M114" t="s">
        <v>1187</v>
      </c>
      <c r="N114" t="s">
        <v>1291</v>
      </c>
      <c r="O114" t="s">
        <v>1190</v>
      </c>
      <c r="P114" t="s">
        <v>1201</v>
      </c>
      <c r="Q114" t="s">
        <v>1421</v>
      </c>
    </row>
    <row r="115" spans="1:17" x14ac:dyDescent="0.25">
      <c r="A115" t="s">
        <v>39</v>
      </c>
      <c r="B115" t="s">
        <v>1433</v>
      </c>
      <c r="C115" t="s">
        <v>332</v>
      </c>
      <c r="D115" t="s">
        <v>1142</v>
      </c>
      <c r="E115">
        <v>1817.8</v>
      </c>
      <c r="F115" t="s">
        <v>1290</v>
      </c>
      <c r="G115" t="s">
        <v>1434</v>
      </c>
      <c r="H115" t="s">
        <v>1394</v>
      </c>
      <c r="I115" t="s">
        <v>1205</v>
      </c>
      <c r="J115" t="s">
        <v>1187</v>
      </c>
      <c r="K115" t="b">
        <v>1</v>
      </c>
      <c r="L115" t="b">
        <v>0</v>
      </c>
      <c r="M115" t="s">
        <v>1187</v>
      </c>
      <c r="N115" t="s">
        <v>1291</v>
      </c>
      <c r="O115" t="s">
        <v>1190</v>
      </c>
      <c r="P115" t="s">
        <v>1201</v>
      </c>
      <c r="Q115" t="s">
        <v>1421</v>
      </c>
    </row>
    <row r="116" spans="1:17" x14ac:dyDescent="0.25">
      <c r="A116" t="s">
        <v>39</v>
      </c>
      <c r="B116" t="s">
        <v>1435</v>
      </c>
      <c r="C116" t="s">
        <v>332</v>
      </c>
      <c r="D116" t="s">
        <v>1143</v>
      </c>
      <c r="E116">
        <v>1847.5</v>
      </c>
      <c r="F116" t="s">
        <v>1290</v>
      </c>
      <c r="G116" t="s">
        <v>1436</v>
      </c>
      <c r="H116" t="s">
        <v>1394</v>
      </c>
      <c r="I116" t="s">
        <v>1208</v>
      </c>
      <c r="J116" t="s">
        <v>1187</v>
      </c>
      <c r="K116" t="b">
        <v>1</v>
      </c>
      <c r="L116" t="b">
        <v>0</v>
      </c>
      <c r="M116" t="s">
        <v>1187</v>
      </c>
      <c r="N116" t="s">
        <v>1291</v>
      </c>
      <c r="O116" t="s">
        <v>1190</v>
      </c>
      <c r="P116" t="s">
        <v>1201</v>
      </c>
      <c r="Q116" t="s">
        <v>1421</v>
      </c>
    </row>
    <row r="117" spans="1:17" x14ac:dyDescent="0.25">
      <c r="A117" t="s">
        <v>39</v>
      </c>
      <c r="B117" t="s">
        <v>1437</v>
      </c>
      <c r="C117" t="s">
        <v>332</v>
      </c>
      <c r="D117" t="s">
        <v>1144</v>
      </c>
      <c r="E117">
        <v>1821</v>
      </c>
      <c r="F117" t="s">
        <v>1290</v>
      </c>
      <c r="G117" t="s">
        <v>1438</v>
      </c>
      <c r="H117" t="s">
        <v>1394</v>
      </c>
      <c r="I117" t="s">
        <v>1402</v>
      </c>
      <c r="J117" t="s">
        <v>1187</v>
      </c>
      <c r="K117" t="b">
        <v>1</v>
      </c>
      <c r="L117" t="b">
        <v>0</v>
      </c>
      <c r="M117" t="s">
        <v>1187</v>
      </c>
      <c r="N117" t="s">
        <v>1291</v>
      </c>
      <c r="O117" t="s">
        <v>1190</v>
      </c>
      <c r="P117" t="s">
        <v>1201</v>
      </c>
      <c r="Q117" t="s">
        <v>1421</v>
      </c>
    </row>
    <row r="118" spans="1:17" x14ac:dyDescent="0.25">
      <c r="A118" t="s">
        <v>39</v>
      </c>
      <c r="B118" t="s">
        <v>1439</v>
      </c>
      <c r="C118" t="s">
        <v>332</v>
      </c>
      <c r="D118" t="s">
        <v>1145</v>
      </c>
      <c r="E118">
        <v>1854</v>
      </c>
      <c r="F118" t="s">
        <v>1290</v>
      </c>
      <c r="G118" t="s">
        <v>1440</v>
      </c>
      <c r="H118" t="s">
        <v>1394</v>
      </c>
      <c r="I118" t="s">
        <v>1214</v>
      </c>
      <c r="J118" t="s">
        <v>1187</v>
      </c>
      <c r="K118" t="b">
        <v>1</v>
      </c>
      <c r="L118" t="b">
        <v>0</v>
      </c>
      <c r="M118" t="s">
        <v>1187</v>
      </c>
      <c r="N118" t="s">
        <v>1291</v>
      </c>
      <c r="O118" t="s">
        <v>1190</v>
      </c>
      <c r="P118" t="s">
        <v>1201</v>
      </c>
      <c r="Q118" t="s">
        <v>1421</v>
      </c>
    </row>
    <row r="119" spans="1:17" x14ac:dyDescent="0.25">
      <c r="A119" t="s">
        <v>39</v>
      </c>
      <c r="B119" t="s">
        <v>1441</v>
      </c>
      <c r="C119" t="s">
        <v>332</v>
      </c>
      <c r="D119" t="s">
        <v>1146</v>
      </c>
      <c r="E119">
        <v>1880</v>
      </c>
      <c r="F119" t="s">
        <v>1290</v>
      </c>
      <c r="G119" t="s">
        <v>1442</v>
      </c>
      <c r="H119" t="s">
        <v>1394</v>
      </c>
      <c r="I119" t="s">
        <v>1217</v>
      </c>
      <c r="J119" t="s">
        <v>1187</v>
      </c>
      <c r="K119" t="b">
        <v>1</v>
      </c>
      <c r="L119" t="b">
        <v>0</v>
      </c>
      <c r="M119" t="s">
        <v>1187</v>
      </c>
      <c r="N119" t="s">
        <v>1291</v>
      </c>
      <c r="O119" t="s">
        <v>1190</v>
      </c>
      <c r="P119" t="s">
        <v>1201</v>
      </c>
      <c r="Q119" t="s">
        <v>1421</v>
      </c>
    </row>
    <row r="120" spans="1:17" x14ac:dyDescent="0.25">
      <c r="A120" t="s">
        <v>39</v>
      </c>
      <c r="B120" t="s">
        <v>1443</v>
      </c>
      <c r="C120" t="s">
        <v>332</v>
      </c>
      <c r="D120" t="s">
        <v>1147</v>
      </c>
      <c r="E120">
        <v>1900</v>
      </c>
      <c r="F120" t="s">
        <v>1290</v>
      </c>
      <c r="G120" t="s">
        <v>1444</v>
      </c>
      <c r="H120" t="s">
        <v>1394</v>
      </c>
      <c r="I120" t="s">
        <v>1220</v>
      </c>
      <c r="J120" t="s">
        <v>1187</v>
      </c>
      <c r="K120" t="b">
        <v>1</v>
      </c>
      <c r="L120" t="b">
        <v>0</v>
      </c>
      <c r="M120" t="s">
        <v>1187</v>
      </c>
      <c r="N120" t="s">
        <v>1291</v>
      </c>
      <c r="O120" t="s">
        <v>1190</v>
      </c>
      <c r="P120" t="s">
        <v>1201</v>
      </c>
      <c r="Q120" t="s">
        <v>1421</v>
      </c>
    </row>
    <row r="121" spans="1:17" x14ac:dyDescent="0.25">
      <c r="A121" t="s">
        <v>39</v>
      </c>
      <c r="B121" t="s">
        <v>1445</v>
      </c>
      <c r="C121" t="s">
        <v>332</v>
      </c>
      <c r="D121" t="s">
        <v>1232</v>
      </c>
      <c r="E121">
        <v>1897</v>
      </c>
      <c r="F121" t="s">
        <v>1290</v>
      </c>
      <c r="G121" t="s">
        <v>1446</v>
      </c>
      <c r="H121" t="s">
        <v>1394</v>
      </c>
      <c r="I121" t="s">
        <v>1402</v>
      </c>
      <c r="J121" t="s">
        <v>1187</v>
      </c>
      <c r="K121" t="b">
        <v>1</v>
      </c>
      <c r="L121" t="b">
        <v>0</v>
      </c>
      <c r="M121" t="s">
        <v>1187</v>
      </c>
      <c r="N121" t="s">
        <v>1291</v>
      </c>
      <c r="O121" t="s">
        <v>1190</v>
      </c>
      <c r="P121" t="s">
        <v>1201</v>
      </c>
      <c r="Q121" t="s">
        <v>1447</v>
      </c>
    </row>
    <row r="122" spans="1:17" x14ac:dyDescent="0.25">
      <c r="A122" t="s">
        <v>39</v>
      </c>
      <c r="B122" t="s">
        <v>1448</v>
      </c>
      <c r="C122" t="s">
        <v>333</v>
      </c>
      <c r="D122" t="s">
        <v>1137</v>
      </c>
      <c r="E122">
        <v>97.9</v>
      </c>
      <c r="F122" t="s">
        <v>1197</v>
      </c>
      <c r="G122" t="s">
        <v>1449</v>
      </c>
      <c r="H122" t="s">
        <v>1394</v>
      </c>
      <c r="I122" t="s">
        <v>1420</v>
      </c>
      <c r="J122" t="s">
        <v>1187</v>
      </c>
      <c r="K122" t="b">
        <v>1</v>
      </c>
      <c r="L122" t="b">
        <v>0</v>
      </c>
      <c r="M122" t="s">
        <v>1187</v>
      </c>
      <c r="N122" t="s">
        <v>1291</v>
      </c>
      <c r="O122" t="s">
        <v>1190</v>
      </c>
      <c r="P122" t="s">
        <v>1201</v>
      </c>
      <c r="Q122" t="s">
        <v>1187</v>
      </c>
    </row>
    <row r="123" spans="1:17" x14ac:dyDescent="0.25">
      <c r="A123" t="s">
        <v>39</v>
      </c>
      <c r="B123" t="s">
        <v>1450</v>
      </c>
      <c r="C123" t="s">
        <v>333</v>
      </c>
      <c r="D123" t="s">
        <v>1138</v>
      </c>
      <c r="E123">
        <v>96.1</v>
      </c>
      <c r="F123" t="s">
        <v>1197</v>
      </c>
      <c r="G123" t="s">
        <v>1451</v>
      </c>
      <c r="H123" t="s">
        <v>1394</v>
      </c>
      <c r="I123" t="s">
        <v>1424</v>
      </c>
      <c r="J123" t="s">
        <v>1187</v>
      </c>
      <c r="K123" t="b">
        <v>1</v>
      </c>
      <c r="L123" t="b">
        <v>0</v>
      </c>
      <c r="M123" t="s">
        <v>1187</v>
      </c>
      <c r="N123" t="s">
        <v>1291</v>
      </c>
      <c r="O123" t="s">
        <v>1190</v>
      </c>
      <c r="P123" t="s">
        <v>1201</v>
      </c>
      <c r="Q123" t="s">
        <v>1187</v>
      </c>
    </row>
    <row r="124" spans="1:17" x14ac:dyDescent="0.25">
      <c r="A124" t="s">
        <v>39</v>
      </c>
      <c r="B124" t="s">
        <v>1452</v>
      </c>
      <c r="C124" t="s">
        <v>333</v>
      </c>
      <c r="D124" t="s">
        <v>1139</v>
      </c>
      <c r="E124">
        <v>100</v>
      </c>
      <c r="F124" t="s">
        <v>1197</v>
      </c>
      <c r="G124" t="s">
        <v>1453</v>
      </c>
      <c r="H124" t="s">
        <v>1394</v>
      </c>
      <c r="I124" t="s">
        <v>1427</v>
      </c>
      <c r="J124" t="s">
        <v>1187</v>
      </c>
      <c r="K124" t="b">
        <v>1</v>
      </c>
      <c r="L124" t="b">
        <v>0</v>
      </c>
      <c r="M124" t="s">
        <v>1187</v>
      </c>
      <c r="N124" t="s">
        <v>1291</v>
      </c>
      <c r="O124" t="s">
        <v>1190</v>
      </c>
      <c r="P124" t="s">
        <v>1201</v>
      </c>
      <c r="Q124" t="s">
        <v>1187</v>
      </c>
    </row>
    <row r="125" spans="1:17" x14ac:dyDescent="0.25">
      <c r="A125" t="s">
        <v>39</v>
      </c>
      <c r="B125" t="s">
        <v>1454</v>
      </c>
      <c r="C125" t="s">
        <v>333</v>
      </c>
      <c r="D125" t="s">
        <v>1140</v>
      </c>
      <c r="E125">
        <v>98</v>
      </c>
      <c r="F125" t="s">
        <v>1197</v>
      </c>
      <c r="G125" t="s">
        <v>1455</v>
      </c>
      <c r="H125" t="s">
        <v>1394</v>
      </c>
      <c r="I125" t="s">
        <v>1430</v>
      </c>
      <c r="J125" t="s">
        <v>1187</v>
      </c>
      <c r="K125" t="b">
        <v>1</v>
      </c>
      <c r="L125" t="b">
        <v>0</v>
      </c>
      <c r="M125" t="s">
        <v>1187</v>
      </c>
      <c r="N125" t="s">
        <v>1291</v>
      </c>
      <c r="O125" t="s">
        <v>1190</v>
      </c>
      <c r="P125" t="s">
        <v>1201</v>
      </c>
      <c r="Q125" t="s">
        <v>1187</v>
      </c>
    </row>
    <row r="126" spans="1:17" x14ac:dyDescent="0.25">
      <c r="A126" t="s">
        <v>39</v>
      </c>
      <c r="B126" t="s">
        <v>1456</v>
      </c>
      <c r="C126" t="s">
        <v>333</v>
      </c>
      <c r="D126" t="s">
        <v>1141</v>
      </c>
      <c r="E126">
        <v>101.4</v>
      </c>
      <c r="F126" t="s">
        <v>1197</v>
      </c>
      <c r="G126" t="s">
        <v>1457</v>
      </c>
      <c r="H126" t="s">
        <v>1394</v>
      </c>
      <c r="I126" t="s">
        <v>1199</v>
      </c>
      <c r="J126" t="s">
        <v>1187</v>
      </c>
      <c r="K126" t="b">
        <v>1</v>
      </c>
      <c r="L126" t="b">
        <v>0</v>
      </c>
      <c r="M126" t="s">
        <v>1187</v>
      </c>
      <c r="N126" t="s">
        <v>1291</v>
      </c>
      <c r="O126" t="s">
        <v>1190</v>
      </c>
      <c r="P126" t="s">
        <v>1201</v>
      </c>
      <c r="Q126" t="s">
        <v>1187</v>
      </c>
    </row>
    <row r="127" spans="1:17" x14ac:dyDescent="0.25">
      <c r="A127" t="s">
        <v>39</v>
      </c>
      <c r="B127" t="s">
        <v>1458</v>
      </c>
      <c r="C127" t="s">
        <v>333</v>
      </c>
      <c r="D127" t="s">
        <v>1142</v>
      </c>
      <c r="E127">
        <v>99.9</v>
      </c>
      <c r="F127" t="s">
        <v>1197</v>
      </c>
      <c r="G127" t="s">
        <v>1459</v>
      </c>
      <c r="H127" t="s">
        <v>1394</v>
      </c>
      <c r="I127" t="s">
        <v>1205</v>
      </c>
      <c r="J127" t="s">
        <v>1187</v>
      </c>
      <c r="K127" t="b">
        <v>1</v>
      </c>
      <c r="L127" t="b">
        <v>0</v>
      </c>
      <c r="M127" t="s">
        <v>1187</v>
      </c>
      <c r="N127" t="s">
        <v>1291</v>
      </c>
      <c r="O127" t="s">
        <v>1190</v>
      </c>
      <c r="P127" t="s">
        <v>1201</v>
      </c>
      <c r="Q127" t="s">
        <v>1187</v>
      </c>
    </row>
    <row r="128" spans="1:17" x14ac:dyDescent="0.25">
      <c r="A128" t="s">
        <v>39</v>
      </c>
      <c r="B128" t="s">
        <v>1460</v>
      </c>
      <c r="C128" t="s">
        <v>333</v>
      </c>
      <c r="D128" t="s">
        <v>1143</v>
      </c>
      <c r="E128">
        <v>97.7</v>
      </c>
      <c r="F128" t="s">
        <v>1197</v>
      </c>
      <c r="G128" t="s">
        <v>1461</v>
      </c>
      <c r="H128" t="s">
        <v>1394</v>
      </c>
      <c r="I128" t="s">
        <v>1208</v>
      </c>
      <c r="J128" t="s">
        <v>1187</v>
      </c>
      <c r="K128" t="b">
        <v>1</v>
      </c>
      <c r="L128" t="b">
        <v>0</v>
      </c>
      <c r="M128" t="s">
        <v>1187</v>
      </c>
      <c r="N128" t="s">
        <v>1291</v>
      </c>
      <c r="O128" t="s">
        <v>1190</v>
      </c>
      <c r="P128" t="s">
        <v>1201</v>
      </c>
      <c r="Q128" t="s">
        <v>1187</v>
      </c>
    </row>
    <row r="129" spans="1:17" x14ac:dyDescent="0.25">
      <c r="A129" t="s">
        <v>39</v>
      </c>
      <c r="B129" t="s">
        <v>1462</v>
      </c>
      <c r="C129" t="s">
        <v>333</v>
      </c>
      <c r="D129" t="s">
        <v>1144</v>
      </c>
      <c r="E129">
        <v>98</v>
      </c>
      <c r="F129" t="s">
        <v>1197</v>
      </c>
      <c r="G129" t="s">
        <v>1455</v>
      </c>
      <c r="H129" t="s">
        <v>1394</v>
      </c>
      <c r="I129" t="s">
        <v>1402</v>
      </c>
      <c r="J129" t="s">
        <v>1187</v>
      </c>
      <c r="K129" t="b">
        <v>1</v>
      </c>
      <c r="L129" t="b">
        <v>0</v>
      </c>
      <c r="M129" t="s">
        <v>1187</v>
      </c>
      <c r="N129" t="s">
        <v>1291</v>
      </c>
      <c r="O129" t="s">
        <v>1190</v>
      </c>
      <c r="P129" t="s">
        <v>1201</v>
      </c>
      <c r="Q129" t="s">
        <v>1187</v>
      </c>
    </row>
    <row r="130" spans="1:17" x14ac:dyDescent="0.25">
      <c r="A130" t="s">
        <v>39</v>
      </c>
      <c r="B130" t="s">
        <v>1463</v>
      </c>
      <c r="C130" t="s">
        <v>333</v>
      </c>
      <c r="D130" t="s">
        <v>1145</v>
      </c>
      <c r="E130">
        <v>102</v>
      </c>
      <c r="F130" t="s">
        <v>1197</v>
      </c>
      <c r="G130" t="s">
        <v>1464</v>
      </c>
      <c r="H130" t="s">
        <v>1394</v>
      </c>
      <c r="I130" t="s">
        <v>1214</v>
      </c>
      <c r="J130" t="s">
        <v>1187</v>
      </c>
      <c r="K130" t="b">
        <v>1</v>
      </c>
      <c r="L130" t="b">
        <v>0</v>
      </c>
      <c r="M130" t="s">
        <v>1187</v>
      </c>
      <c r="N130" t="s">
        <v>1291</v>
      </c>
      <c r="O130" t="s">
        <v>1190</v>
      </c>
      <c r="P130" t="s">
        <v>1201</v>
      </c>
      <c r="Q130" t="s">
        <v>1187</v>
      </c>
    </row>
    <row r="131" spans="1:17" x14ac:dyDescent="0.25">
      <c r="A131" t="s">
        <v>39</v>
      </c>
      <c r="B131" t="s">
        <v>1465</v>
      </c>
      <c r="C131" t="s">
        <v>333</v>
      </c>
      <c r="D131" t="s">
        <v>1146</v>
      </c>
      <c r="E131">
        <v>104</v>
      </c>
      <c r="F131" t="s">
        <v>1197</v>
      </c>
      <c r="G131" t="s">
        <v>1466</v>
      </c>
      <c r="H131" t="s">
        <v>1394</v>
      </c>
      <c r="I131" t="s">
        <v>1217</v>
      </c>
      <c r="J131" t="s">
        <v>1187</v>
      </c>
      <c r="K131" t="b">
        <v>1</v>
      </c>
      <c r="L131" t="b">
        <v>0</v>
      </c>
      <c r="M131" t="s">
        <v>1187</v>
      </c>
      <c r="N131" t="s">
        <v>1291</v>
      </c>
      <c r="O131" t="s">
        <v>1190</v>
      </c>
      <c r="P131" t="s">
        <v>1201</v>
      </c>
      <c r="Q131" t="s">
        <v>1187</v>
      </c>
    </row>
    <row r="132" spans="1:17" x14ac:dyDescent="0.25">
      <c r="A132" t="s">
        <v>39</v>
      </c>
      <c r="B132" t="s">
        <v>1467</v>
      </c>
      <c r="C132" t="s">
        <v>333</v>
      </c>
      <c r="D132" t="s">
        <v>1147</v>
      </c>
      <c r="E132">
        <v>103</v>
      </c>
      <c r="F132" t="s">
        <v>1197</v>
      </c>
      <c r="G132" t="s">
        <v>1468</v>
      </c>
      <c r="H132" t="s">
        <v>1394</v>
      </c>
      <c r="I132" t="s">
        <v>1220</v>
      </c>
      <c r="J132" t="s">
        <v>1187</v>
      </c>
      <c r="K132" t="b">
        <v>1</v>
      </c>
      <c r="L132" t="b">
        <v>0</v>
      </c>
      <c r="M132" t="s">
        <v>1187</v>
      </c>
      <c r="N132" t="s">
        <v>1291</v>
      </c>
      <c r="O132" t="s">
        <v>1190</v>
      </c>
      <c r="P132" t="s">
        <v>1201</v>
      </c>
      <c r="Q132" t="s">
        <v>1187</v>
      </c>
    </row>
    <row r="133" spans="1:17" x14ac:dyDescent="0.25">
      <c r="A133" t="s">
        <v>39</v>
      </c>
      <c r="B133" t="s">
        <v>1469</v>
      </c>
      <c r="C133" t="s">
        <v>333</v>
      </c>
      <c r="D133" t="s">
        <v>1232</v>
      </c>
      <c r="E133">
        <v>106</v>
      </c>
      <c r="F133" t="s">
        <v>1197</v>
      </c>
      <c r="G133" t="s">
        <v>1470</v>
      </c>
      <c r="H133" t="s">
        <v>1394</v>
      </c>
      <c r="I133" t="s">
        <v>1402</v>
      </c>
      <c r="J133" t="s">
        <v>1187</v>
      </c>
      <c r="K133" t="b">
        <v>1</v>
      </c>
      <c r="L133" t="b">
        <v>0</v>
      </c>
      <c r="M133" t="s">
        <v>1187</v>
      </c>
      <c r="N133" t="s">
        <v>1291</v>
      </c>
      <c r="O133" t="s">
        <v>1190</v>
      </c>
      <c r="P133" t="s">
        <v>1201</v>
      </c>
      <c r="Q133" t="s">
        <v>1187</v>
      </c>
    </row>
    <row r="134" spans="1:17" x14ac:dyDescent="0.25">
      <c r="A134" t="s">
        <v>39</v>
      </c>
      <c r="B134" t="s">
        <v>1471</v>
      </c>
      <c r="C134" t="s">
        <v>334</v>
      </c>
      <c r="D134" t="s">
        <v>1137</v>
      </c>
      <c r="E134">
        <v>324.9</v>
      </c>
      <c r="F134" t="s">
        <v>1290</v>
      </c>
      <c r="G134" t="s">
        <v>1472</v>
      </c>
      <c r="H134" t="s">
        <v>1394</v>
      </c>
      <c r="I134" t="s">
        <v>1473</v>
      </c>
      <c r="J134" t="s">
        <v>1187</v>
      </c>
      <c r="K134" t="b">
        <v>1</v>
      </c>
      <c r="L134" t="b">
        <v>0</v>
      </c>
      <c r="M134" t="s">
        <v>1187</v>
      </c>
      <c r="N134" t="s">
        <v>1291</v>
      </c>
      <c r="O134" t="s">
        <v>1190</v>
      </c>
      <c r="P134" t="s">
        <v>1201</v>
      </c>
      <c r="Q134" t="s">
        <v>1474</v>
      </c>
    </row>
    <row r="135" spans="1:17" x14ac:dyDescent="0.25">
      <c r="A135" t="s">
        <v>39</v>
      </c>
      <c r="B135" t="s">
        <v>1475</v>
      </c>
      <c r="C135" t="s">
        <v>334</v>
      </c>
      <c r="D135" t="s">
        <v>1138</v>
      </c>
      <c r="E135">
        <v>244</v>
      </c>
      <c r="F135" t="s">
        <v>1290</v>
      </c>
      <c r="G135" t="s">
        <v>1476</v>
      </c>
      <c r="H135" t="s">
        <v>1394</v>
      </c>
      <c r="I135" t="s">
        <v>1477</v>
      </c>
      <c r="J135" t="s">
        <v>1187</v>
      </c>
      <c r="K135" t="b">
        <v>1</v>
      </c>
      <c r="L135" t="b">
        <v>0</v>
      </c>
      <c r="M135" t="s">
        <v>1187</v>
      </c>
      <c r="N135" t="s">
        <v>1291</v>
      </c>
      <c r="O135" t="s">
        <v>1190</v>
      </c>
      <c r="P135" t="s">
        <v>1201</v>
      </c>
      <c r="Q135" t="s">
        <v>1474</v>
      </c>
    </row>
    <row r="136" spans="1:17" x14ac:dyDescent="0.25">
      <c r="A136" t="s">
        <v>39</v>
      </c>
      <c r="B136" t="s">
        <v>1478</v>
      </c>
      <c r="C136" t="s">
        <v>334</v>
      </c>
      <c r="D136" t="s">
        <v>1139</v>
      </c>
      <c r="E136">
        <v>261.2</v>
      </c>
      <c r="F136" t="s">
        <v>1290</v>
      </c>
      <c r="G136" t="s">
        <v>1479</v>
      </c>
      <c r="H136" t="s">
        <v>1394</v>
      </c>
      <c r="I136" t="s">
        <v>1480</v>
      </c>
      <c r="J136" t="s">
        <v>1187</v>
      </c>
      <c r="K136" t="b">
        <v>1</v>
      </c>
      <c r="L136" t="b">
        <v>0</v>
      </c>
      <c r="M136" t="s">
        <v>1187</v>
      </c>
      <c r="N136" t="s">
        <v>1291</v>
      </c>
      <c r="O136" t="s">
        <v>1190</v>
      </c>
      <c r="P136" t="s">
        <v>1201</v>
      </c>
      <c r="Q136" t="s">
        <v>1474</v>
      </c>
    </row>
    <row r="137" spans="1:17" x14ac:dyDescent="0.25">
      <c r="A137" t="s">
        <v>39</v>
      </c>
      <c r="B137" t="s">
        <v>1481</v>
      </c>
      <c r="C137" t="s">
        <v>334</v>
      </c>
      <c r="D137" t="s">
        <v>1140</v>
      </c>
      <c r="E137">
        <v>375</v>
      </c>
      <c r="F137" t="s">
        <v>1290</v>
      </c>
      <c r="G137" t="s">
        <v>1482</v>
      </c>
      <c r="H137" t="s">
        <v>1394</v>
      </c>
      <c r="I137" t="s">
        <v>1483</v>
      </c>
      <c r="J137" t="s">
        <v>1187</v>
      </c>
      <c r="K137" t="b">
        <v>1</v>
      </c>
      <c r="L137" t="b">
        <v>0</v>
      </c>
      <c r="M137" t="s">
        <v>1187</v>
      </c>
      <c r="N137" t="s">
        <v>1291</v>
      </c>
      <c r="O137" t="s">
        <v>1190</v>
      </c>
      <c r="P137" t="s">
        <v>1201</v>
      </c>
      <c r="Q137" t="s">
        <v>1474</v>
      </c>
    </row>
    <row r="138" spans="1:17" x14ac:dyDescent="0.25">
      <c r="A138" t="s">
        <v>39</v>
      </c>
      <c r="B138" t="s">
        <v>1484</v>
      </c>
      <c r="C138" t="s">
        <v>334</v>
      </c>
      <c r="D138" t="s">
        <v>1141</v>
      </c>
      <c r="E138">
        <v>317.2</v>
      </c>
      <c r="F138" t="s">
        <v>1290</v>
      </c>
      <c r="G138" t="s">
        <v>1485</v>
      </c>
      <c r="H138" t="s">
        <v>1394</v>
      </c>
      <c r="I138" t="s">
        <v>1486</v>
      </c>
      <c r="J138" t="s">
        <v>1187</v>
      </c>
      <c r="K138" t="b">
        <v>1</v>
      </c>
      <c r="L138" t="b">
        <v>0</v>
      </c>
      <c r="M138" t="s">
        <v>1187</v>
      </c>
      <c r="N138" t="s">
        <v>1291</v>
      </c>
      <c r="O138" t="s">
        <v>1190</v>
      </c>
      <c r="P138" t="s">
        <v>1201</v>
      </c>
      <c r="Q138" t="s">
        <v>1474</v>
      </c>
    </row>
    <row r="139" spans="1:17" x14ac:dyDescent="0.25">
      <c r="A139" t="s">
        <v>39</v>
      </c>
      <c r="B139" t="s">
        <v>1487</v>
      </c>
      <c r="C139" t="s">
        <v>334</v>
      </c>
      <c r="D139" t="s">
        <v>1142</v>
      </c>
      <c r="E139">
        <v>251</v>
      </c>
      <c r="F139" t="s">
        <v>1290</v>
      </c>
      <c r="G139" t="s">
        <v>1488</v>
      </c>
      <c r="H139" t="s">
        <v>1394</v>
      </c>
      <c r="I139" t="s">
        <v>1489</v>
      </c>
      <c r="J139" t="s">
        <v>1187</v>
      </c>
      <c r="K139" t="b">
        <v>1</v>
      </c>
      <c r="L139" t="b">
        <v>0</v>
      </c>
      <c r="M139" t="s">
        <v>1187</v>
      </c>
      <c r="N139" t="s">
        <v>1291</v>
      </c>
      <c r="O139" t="s">
        <v>1190</v>
      </c>
      <c r="P139" t="s">
        <v>1201</v>
      </c>
      <c r="Q139" t="s">
        <v>1474</v>
      </c>
    </row>
    <row r="140" spans="1:17" x14ac:dyDescent="0.25">
      <c r="A140" t="s">
        <v>39</v>
      </c>
      <c r="B140" t="s">
        <v>1490</v>
      </c>
      <c r="C140" t="s">
        <v>334</v>
      </c>
      <c r="D140" t="s">
        <v>1143</v>
      </c>
      <c r="E140">
        <v>320.2</v>
      </c>
      <c r="F140" t="s">
        <v>1290</v>
      </c>
      <c r="G140" t="s">
        <v>1491</v>
      </c>
      <c r="H140" t="s">
        <v>1394</v>
      </c>
      <c r="I140" t="s">
        <v>1492</v>
      </c>
      <c r="J140" t="s">
        <v>1187</v>
      </c>
      <c r="K140" t="b">
        <v>1</v>
      </c>
      <c r="L140" t="b">
        <v>0</v>
      </c>
      <c r="M140" t="s">
        <v>1187</v>
      </c>
      <c r="N140" t="s">
        <v>1291</v>
      </c>
      <c r="O140" t="s">
        <v>1190</v>
      </c>
      <c r="P140" t="s">
        <v>1201</v>
      </c>
      <c r="Q140" t="s">
        <v>1474</v>
      </c>
    </row>
    <row r="141" spans="1:17" x14ac:dyDescent="0.25">
      <c r="A141" t="s">
        <v>39</v>
      </c>
      <c r="B141" t="s">
        <v>1493</v>
      </c>
      <c r="C141" t="s">
        <v>334</v>
      </c>
      <c r="D141" t="s">
        <v>1144</v>
      </c>
      <c r="E141">
        <v>413</v>
      </c>
      <c r="F141" t="s">
        <v>1290</v>
      </c>
      <c r="G141" t="s">
        <v>1494</v>
      </c>
      <c r="H141" t="s">
        <v>1394</v>
      </c>
      <c r="I141" t="s">
        <v>1402</v>
      </c>
      <c r="J141" t="s">
        <v>1187</v>
      </c>
      <c r="K141" t="b">
        <v>1</v>
      </c>
      <c r="L141" t="b">
        <v>0</v>
      </c>
      <c r="M141" t="s">
        <v>1187</v>
      </c>
      <c r="N141" t="s">
        <v>1291</v>
      </c>
      <c r="O141" t="s">
        <v>1190</v>
      </c>
      <c r="P141" t="s">
        <v>1201</v>
      </c>
      <c r="Q141" t="s">
        <v>1495</v>
      </c>
    </row>
    <row r="142" spans="1:17" x14ac:dyDescent="0.25">
      <c r="A142" t="s">
        <v>39</v>
      </c>
      <c r="B142" t="s">
        <v>1496</v>
      </c>
      <c r="C142" t="s">
        <v>334</v>
      </c>
      <c r="D142" t="s">
        <v>1145</v>
      </c>
      <c r="E142">
        <v>282</v>
      </c>
      <c r="F142" t="s">
        <v>1290</v>
      </c>
      <c r="G142" t="s">
        <v>1497</v>
      </c>
      <c r="H142" t="s">
        <v>1394</v>
      </c>
      <c r="I142" t="s">
        <v>1498</v>
      </c>
      <c r="J142" t="s">
        <v>1187</v>
      </c>
      <c r="K142" t="b">
        <v>1</v>
      </c>
      <c r="L142" t="b">
        <v>0</v>
      </c>
      <c r="M142" t="s">
        <v>1187</v>
      </c>
      <c r="N142" t="s">
        <v>1291</v>
      </c>
      <c r="O142" t="s">
        <v>1190</v>
      </c>
      <c r="P142" t="s">
        <v>1201</v>
      </c>
      <c r="Q142" t="s">
        <v>1474</v>
      </c>
    </row>
    <row r="143" spans="1:17" x14ac:dyDescent="0.25">
      <c r="A143" t="s">
        <v>39</v>
      </c>
      <c r="B143" t="s">
        <v>1499</v>
      </c>
      <c r="C143" t="s">
        <v>334</v>
      </c>
      <c r="D143" t="s">
        <v>1146</v>
      </c>
      <c r="E143">
        <v>310</v>
      </c>
      <c r="F143" t="s">
        <v>1290</v>
      </c>
      <c r="G143" t="s">
        <v>1500</v>
      </c>
      <c r="H143" t="s">
        <v>1394</v>
      </c>
      <c r="I143" t="s">
        <v>1217</v>
      </c>
      <c r="J143" t="s">
        <v>1187</v>
      </c>
      <c r="K143" t="b">
        <v>1</v>
      </c>
      <c r="L143" t="b">
        <v>0</v>
      </c>
      <c r="M143" t="s">
        <v>1187</v>
      </c>
      <c r="N143" t="s">
        <v>1291</v>
      </c>
      <c r="O143" t="s">
        <v>1190</v>
      </c>
      <c r="P143" t="s">
        <v>1201</v>
      </c>
      <c r="Q143" t="s">
        <v>1474</v>
      </c>
    </row>
    <row r="144" spans="1:17" x14ac:dyDescent="0.25">
      <c r="A144" t="s">
        <v>39</v>
      </c>
      <c r="B144" t="s">
        <v>1501</v>
      </c>
      <c r="C144" t="s">
        <v>334</v>
      </c>
      <c r="D144" t="s">
        <v>1147</v>
      </c>
      <c r="E144">
        <v>397</v>
      </c>
      <c r="F144" t="s">
        <v>1290</v>
      </c>
      <c r="G144" t="s">
        <v>1502</v>
      </c>
      <c r="H144" t="s">
        <v>1394</v>
      </c>
      <c r="I144" t="s">
        <v>1220</v>
      </c>
      <c r="J144" t="s">
        <v>1187</v>
      </c>
      <c r="K144" t="b">
        <v>1</v>
      </c>
      <c r="L144" t="b">
        <v>0</v>
      </c>
      <c r="M144" t="s">
        <v>1187</v>
      </c>
      <c r="N144" t="s">
        <v>1291</v>
      </c>
      <c r="O144" t="s">
        <v>1190</v>
      </c>
      <c r="P144" t="s">
        <v>1201</v>
      </c>
      <c r="Q144" t="s">
        <v>1474</v>
      </c>
    </row>
    <row r="145" spans="1:17" x14ac:dyDescent="0.25">
      <c r="A145" t="s">
        <v>39</v>
      </c>
      <c r="B145" t="s">
        <v>1503</v>
      </c>
      <c r="C145" t="s">
        <v>334</v>
      </c>
      <c r="D145" t="s">
        <v>1232</v>
      </c>
      <c r="E145">
        <v>444</v>
      </c>
      <c r="F145" t="s">
        <v>1290</v>
      </c>
      <c r="G145" t="s">
        <v>1504</v>
      </c>
      <c r="H145" t="s">
        <v>1394</v>
      </c>
      <c r="I145" t="s">
        <v>1505</v>
      </c>
      <c r="J145" t="s">
        <v>1187</v>
      </c>
      <c r="K145" t="b">
        <v>1</v>
      </c>
      <c r="L145" t="b">
        <v>0</v>
      </c>
      <c r="M145" t="s">
        <v>1187</v>
      </c>
      <c r="N145" t="s">
        <v>1291</v>
      </c>
      <c r="O145" t="s">
        <v>1190</v>
      </c>
      <c r="P145" t="s">
        <v>1201</v>
      </c>
      <c r="Q145" t="s">
        <v>1506</v>
      </c>
    </row>
    <row r="146" spans="1:17" x14ac:dyDescent="0.25">
      <c r="A146" t="s">
        <v>39</v>
      </c>
      <c r="B146" t="s">
        <v>1507</v>
      </c>
      <c r="C146" t="s">
        <v>336</v>
      </c>
      <c r="D146" t="s">
        <v>1137</v>
      </c>
      <c r="E146">
        <v>10658.6</v>
      </c>
      <c r="F146" t="s">
        <v>1290</v>
      </c>
      <c r="G146" t="s">
        <v>1508</v>
      </c>
      <c r="H146" t="s">
        <v>1394</v>
      </c>
      <c r="I146" t="s">
        <v>1420</v>
      </c>
      <c r="J146" t="s">
        <v>1187</v>
      </c>
      <c r="K146" t="b">
        <v>1</v>
      </c>
      <c r="L146" t="b">
        <v>0</v>
      </c>
      <c r="M146" t="s">
        <v>1187</v>
      </c>
      <c r="N146" t="s">
        <v>1291</v>
      </c>
      <c r="O146" t="s">
        <v>1190</v>
      </c>
      <c r="P146" t="s">
        <v>1201</v>
      </c>
      <c r="Q146" t="s">
        <v>1509</v>
      </c>
    </row>
    <row r="147" spans="1:17" x14ac:dyDescent="0.25">
      <c r="A147" t="s">
        <v>39</v>
      </c>
      <c r="B147" t="s">
        <v>1510</v>
      </c>
      <c r="C147" t="s">
        <v>336</v>
      </c>
      <c r="D147" t="s">
        <v>1138</v>
      </c>
      <c r="E147">
        <v>10561.7</v>
      </c>
      <c r="F147" t="s">
        <v>1290</v>
      </c>
      <c r="G147" t="s">
        <v>1511</v>
      </c>
      <c r="H147" t="s">
        <v>1394</v>
      </c>
      <c r="I147" t="s">
        <v>1424</v>
      </c>
      <c r="J147" t="s">
        <v>1187</v>
      </c>
      <c r="K147" t="b">
        <v>1</v>
      </c>
      <c r="L147" t="b">
        <v>0</v>
      </c>
      <c r="M147" t="s">
        <v>1187</v>
      </c>
      <c r="N147" t="s">
        <v>1291</v>
      </c>
      <c r="O147" t="s">
        <v>1190</v>
      </c>
      <c r="P147" t="s">
        <v>1201</v>
      </c>
      <c r="Q147" t="s">
        <v>1509</v>
      </c>
    </row>
    <row r="148" spans="1:17" x14ac:dyDescent="0.25">
      <c r="A148" t="s">
        <v>39</v>
      </c>
      <c r="B148" t="s">
        <v>1512</v>
      </c>
      <c r="C148" t="s">
        <v>336</v>
      </c>
      <c r="D148" t="s">
        <v>1139</v>
      </c>
      <c r="E148">
        <v>10701.4</v>
      </c>
      <c r="F148" t="s">
        <v>1290</v>
      </c>
      <c r="G148" t="s">
        <v>1513</v>
      </c>
      <c r="H148" t="s">
        <v>1394</v>
      </c>
      <c r="I148" t="s">
        <v>1427</v>
      </c>
      <c r="J148" t="s">
        <v>1187</v>
      </c>
      <c r="K148" t="b">
        <v>1</v>
      </c>
      <c r="L148" t="b">
        <v>0</v>
      </c>
      <c r="M148" t="s">
        <v>1187</v>
      </c>
      <c r="N148" t="s">
        <v>1291</v>
      </c>
      <c r="O148" t="s">
        <v>1190</v>
      </c>
      <c r="P148" t="s">
        <v>1201</v>
      </c>
      <c r="Q148" t="s">
        <v>1509</v>
      </c>
    </row>
    <row r="149" spans="1:17" x14ac:dyDescent="0.25">
      <c r="A149" t="s">
        <v>39</v>
      </c>
      <c r="B149" t="s">
        <v>1514</v>
      </c>
      <c r="C149" t="s">
        <v>336</v>
      </c>
      <c r="D149" t="s">
        <v>1140</v>
      </c>
      <c r="E149">
        <v>11351</v>
      </c>
      <c r="F149" t="s">
        <v>1290</v>
      </c>
      <c r="G149" t="s">
        <v>1515</v>
      </c>
      <c r="H149" t="s">
        <v>1394</v>
      </c>
      <c r="I149" t="s">
        <v>1430</v>
      </c>
      <c r="J149" t="s">
        <v>1187</v>
      </c>
      <c r="K149" t="b">
        <v>1</v>
      </c>
      <c r="L149" t="b">
        <v>0</v>
      </c>
      <c r="M149" t="s">
        <v>1187</v>
      </c>
      <c r="N149" t="s">
        <v>1291</v>
      </c>
      <c r="O149" t="s">
        <v>1190</v>
      </c>
      <c r="P149" t="s">
        <v>1201</v>
      </c>
      <c r="Q149" t="s">
        <v>1509</v>
      </c>
    </row>
    <row r="150" spans="1:17" x14ac:dyDescent="0.25">
      <c r="A150" t="s">
        <v>39</v>
      </c>
      <c r="B150" t="s">
        <v>1516</v>
      </c>
      <c r="C150" t="s">
        <v>336</v>
      </c>
      <c r="D150" t="s">
        <v>1141</v>
      </c>
      <c r="E150">
        <v>11310.5</v>
      </c>
      <c r="F150" t="s">
        <v>1290</v>
      </c>
      <c r="G150" t="s">
        <v>1517</v>
      </c>
      <c r="H150" t="s">
        <v>1394</v>
      </c>
      <c r="I150" t="s">
        <v>1199</v>
      </c>
      <c r="J150" t="s">
        <v>1187</v>
      </c>
      <c r="K150" t="b">
        <v>1</v>
      </c>
      <c r="L150" t="b">
        <v>0</v>
      </c>
      <c r="M150" t="s">
        <v>1187</v>
      </c>
      <c r="N150" t="s">
        <v>1291</v>
      </c>
      <c r="O150" t="s">
        <v>1190</v>
      </c>
      <c r="P150" t="s">
        <v>1201</v>
      </c>
      <c r="Q150" t="s">
        <v>1509</v>
      </c>
    </row>
    <row r="151" spans="1:17" x14ac:dyDescent="0.25">
      <c r="A151" t="s">
        <v>39</v>
      </c>
      <c r="B151" t="s">
        <v>1518</v>
      </c>
      <c r="C151" t="s">
        <v>336</v>
      </c>
      <c r="D151" t="s">
        <v>1142</v>
      </c>
      <c r="E151">
        <v>11446.5</v>
      </c>
      <c r="F151" t="s">
        <v>1290</v>
      </c>
      <c r="G151" t="s">
        <v>1519</v>
      </c>
      <c r="H151" t="s">
        <v>1394</v>
      </c>
      <c r="I151" t="s">
        <v>1205</v>
      </c>
      <c r="J151" t="s">
        <v>1187</v>
      </c>
      <c r="K151" t="b">
        <v>1</v>
      </c>
      <c r="L151" t="b">
        <v>0</v>
      </c>
      <c r="M151" t="s">
        <v>1187</v>
      </c>
      <c r="N151" t="s">
        <v>1291</v>
      </c>
      <c r="O151" t="s">
        <v>1190</v>
      </c>
      <c r="P151" t="s">
        <v>1201</v>
      </c>
      <c r="Q151" t="s">
        <v>1509</v>
      </c>
    </row>
    <row r="152" spans="1:17" x14ac:dyDescent="0.25">
      <c r="A152" t="s">
        <v>39</v>
      </c>
      <c r="B152" t="s">
        <v>1520</v>
      </c>
      <c r="C152" t="s">
        <v>336</v>
      </c>
      <c r="D152" t="s">
        <v>1143</v>
      </c>
      <c r="E152">
        <v>11525.6</v>
      </c>
      <c r="F152" t="s">
        <v>1290</v>
      </c>
      <c r="G152" t="s">
        <v>1521</v>
      </c>
      <c r="H152" t="s">
        <v>1394</v>
      </c>
      <c r="I152" t="s">
        <v>1208</v>
      </c>
      <c r="J152" t="s">
        <v>1187</v>
      </c>
      <c r="K152" t="b">
        <v>1</v>
      </c>
      <c r="L152" t="b">
        <v>0</v>
      </c>
      <c r="M152" t="s">
        <v>1187</v>
      </c>
      <c r="N152" t="s">
        <v>1291</v>
      </c>
      <c r="O152" t="s">
        <v>1190</v>
      </c>
      <c r="P152" t="s">
        <v>1201</v>
      </c>
      <c r="Q152" t="s">
        <v>1509</v>
      </c>
    </row>
    <row r="153" spans="1:17" x14ac:dyDescent="0.25">
      <c r="A153" t="s">
        <v>39</v>
      </c>
      <c r="B153" t="s">
        <v>1522</v>
      </c>
      <c r="C153" t="s">
        <v>336</v>
      </c>
      <c r="D153" t="s">
        <v>1144</v>
      </c>
      <c r="E153">
        <v>11877</v>
      </c>
      <c r="F153" t="s">
        <v>1290</v>
      </c>
      <c r="G153" t="s">
        <v>1523</v>
      </c>
      <c r="H153" t="s">
        <v>1394</v>
      </c>
      <c r="I153" t="s">
        <v>1402</v>
      </c>
      <c r="J153" t="s">
        <v>1187</v>
      </c>
      <c r="K153" t="b">
        <v>1</v>
      </c>
      <c r="L153" t="b">
        <v>0</v>
      </c>
      <c r="M153" t="s">
        <v>1187</v>
      </c>
      <c r="N153" t="s">
        <v>1291</v>
      </c>
      <c r="O153" t="s">
        <v>1190</v>
      </c>
      <c r="P153" t="s">
        <v>1201</v>
      </c>
      <c r="Q153" t="s">
        <v>1509</v>
      </c>
    </row>
    <row r="154" spans="1:17" x14ac:dyDescent="0.25">
      <c r="A154" t="s">
        <v>39</v>
      </c>
      <c r="B154" t="s">
        <v>1524</v>
      </c>
      <c r="C154" t="s">
        <v>336</v>
      </c>
      <c r="D154" t="s">
        <v>1145</v>
      </c>
      <c r="E154">
        <v>11949</v>
      </c>
      <c r="F154" t="s">
        <v>1290</v>
      </c>
      <c r="G154" t="s">
        <v>1525</v>
      </c>
      <c r="H154" t="s">
        <v>1394</v>
      </c>
      <c r="I154" t="s">
        <v>1214</v>
      </c>
      <c r="J154" t="s">
        <v>1187</v>
      </c>
      <c r="K154" t="b">
        <v>1</v>
      </c>
      <c r="L154" t="b">
        <v>0</v>
      </c>
      <c r="M154" t="s">
        <v>1187</v>
      </c>
      <c r="N154" t="s">
        <v>1291</v>
      </c>
      <c r="O154" t="s">
        <v>1190</v>
      </c>
      <c r="P154" t="s">
        <v>1201</v>
      </c>
      <c r="Q154" t="s">
        <v>1509</v>
      </c>
    </row>
    <row r="155" spans="1:17" x14ac:dyDescent="0.25">
      <c r="A155" t="s">
        <v>39</v>
      </c>
      <c r="B155" t="s">
        <v>1526</v>
      </c>
      <c r="C155" t="s">
        <v>336</v>
      </c>
      <c r="D155" t="s">
        <v>1146</v>
      </c>
      <c r="E155">
        <v>12049</v>
      </c>
      <c r="F155" t="s">
        <v>1290</v>
      </c>
      <c r="G155" t="s">
        <v>1527</v>
      </c>
      <c r="H155" t="s">
        <v>1394</v>
      </c>
      <c r="I155" t="s">
        <v>1217</v>
      </c>
      <c r="J155" t="s">
        <v>1187</v>
      </c>
      <c r="K155" t="b">
        <v>1</v>
      </c>
      <c r="L155" t="b">
        <v>0</v>
      </c>
      <c r="M155" t="s">
        <v>1187</v>
      </c>
      <c r="N155" t="s">
        <v>1291</v>
      </c>
      <c r="O155" t="s">
        <v>1190</v>
      </c>
      <c r="P155" t="s">
        <v>1201</v>
      </c>
      <c r="Q155" t="s">
        <v>1509</v>
      </c>
    </row>
    <row r="156" spans="1:17" x14ac:dyDescent="0.25">
      <c r="A156" t="s">
        <v>39</v>
      </c>
      <c r="B156" t="s">
        <v>1528</v>
      </c>
      <c r="C156" t="s">
        <v>336</v>
      </c>
      <c r="D156" t="s">
        <v>1147</v>
      </c>
      <c r="E156">
        <v>12192</v>
      </c>
      <c r="F156" t="s">
        <v>1290</v>
      </c>
      <c r="G156" t="s">
        <v>1529</v>
      </c>
      <c r="H156" t="s">
        <v>1394</v>
      </c>
      <c r="I156" t="s">
        <v>1220</v>
      </c>
      <c r="J156" t="s">
        <v>1187</v>
      </c>
      <c r="K156" t="b">
        <v>1</v>
      </c>
      <c r="L156" t="b">
        <v>0</v>
      </c>
      <c r="M156" t="s">
        <v>1187</v>
      </c>
      <c r="N156" t="s">
        <v>1291</v>
      </c>
      <c r="O156" t="s">
        <v>1190</v>
      </c>
      <c r="P156" t="s">
        <v>1201</v>
      </c>
      <c r="Q156" t="s">
        <v>1509</v>
      </c>
    </row>
    <row r="157" spans="1:17" x14ac:dyDescent="0.25">
      <c r="A157" t="s">
        <v>39</v>
      </c>
      <c r="B157" t="s">
        <v>1530</v>
      </c>
      <c r="C157" t="s">
        <v>336</v>
      </c>
      <c r="D157" t="s">
        <v>1232</v>
      </c>
      <c r="E157">
        <v>12639</v>
      </c>
      <c r="F157" t="s">
        <v>1290</v>
      </c>
      <c r="G157" t="s">
        <v>1531</v>
      </c>
      <c r="H157" t="s">
        <v>1394</v>
      </c>
      <c r="I157" t="s">
        <v>1402</v>
      </c>
      <c r="J157" t="s">
        <v>1187</v>
      </c>
      <c r="K157" t="b">
        <v>1</v>
      </c>
      <c r="L157" t="b">
        <v>0</v>
      </c>
      <c r="M157" t="s">
        <v>1187</v>
      </c>
      <c r="N157" t="s">
        <v>1291</v>
      </c>
      <c r="O157" t="s">
        <v>1190</v>
      </c>
      <c r="P157" t="s">
        <v>1201</v>
      </c>
      <c r="Q157" t="s">
        <v>1532</v>
      </c>
    </row>
    <row r="158" spans="1:17" x14ac:dyDescent="0.25">
      <c r="A158" t="s">
        <v>39</v>
      </c>
      <c r="B158" t="s">
        <v>1533</v>
      </c>
      <c r="C158" t="s">
        <v>337</v>
      </c>
      <c r="D158" t="s">
        <v>1137</v>
      </c>
      <c r="E158">
        <v>355.5</v>
      </c>
      <c r="F158" t="s">
        <v>1290</v>
      </c>
      <c r="G158" t="s">
        <v>1534</v>
      </c>
      <c r="H158" t="s">
        <v>1394</v>
      </c>
      <c r="I158" t="s">
        <v>1420</v>
      </c>
      <c r="J158" t="s">
        <v>1187</v>
      </c>
      <c r="K158" t="b">
        <v>1</v>
      </c>
      <c r="L158" t="b">
        <v>0</v>
      </c>
      <c r="M158" t="s">
        <v>1187</v>
      </c>
      <c r="N158" t="s">
        <v>1291</v>
      </c>
      <c r="O158" t="s">
        <v>1190</v>
      </c>
      <c r="P158" t="s">
        <v>1201</v>
      </c>
      <c r="Q158" t="s">
        <v>1535</v>
      </c>
    </row>
    <row r="159" spans="1:17" x14ac:dyDescent="0.25">
      <c r="A159" t="s">
        <v>39</v>
      </c>
      <c r="B159" t="s">
        <v>1536</v>
      </c>
      <c r="C159" t="s">
        <v>337</v>
      </c>
      <c r="D159" t="s">
        <v>1138</v>
      </c>
      <c r="E159">
        <v>431.5</v>
      </c>
      <c r="F159" t="s">
        <v>1290</v>
      </c>
      <c r="G159" t="s">
        <v>1537</v>
      </c>
      <c r="H159" t="s">
        <v>1394</v>
      </c>
      <c r="I159" t="s">
        <v>1424</v>
      </c>
      <c r="J159" t="s">
        <v>1187</v>
      </c>
      <c r="K159" t="b">
        <v>1</v>
      </c>
      <c r="L159" t="b">
        <v>0</v>
      </c>
      <c r="M159" t="s">
        <v>1187</v>
      </c>
      <c r="N159" t="s">
        <v>1291</v>
      </c>
      <c r="O159" t="s">
        <v>1190</v>
      </c>
      <c r="P159" t="s">
        <v>1201</v>
      </c>
      <c r="Q159" t="s">
        <v>1535</v>
      </c>
    </row>
    <row r="160" spans="1:17" x14ac:dyDescent="0.25">
      <c r="A160" t="s">
        <v>39</v>
      </c>
      <c r="B160" t="s">
        <v>1538</v>
      </c>
      <c r="C160" t="s">
        <v>337</v>
      </c>
      <c r="D160" t="s">
        <v>1139</v>
      </c>
      <c r="E160">
        <v>447.2</v>
      </c>
      <c r="F160" t="s">
        <v>1290</v>
      </c>
      <c r="G160" t="s">
        <v>1539</v>
      </c>
      <c r="H160" t="s">
        <v>1394</v>
      </c>
      <c r="I160" t="s">
        <v>1427</v>
      </c>
      <c r="J160" t="s">
        <v>1187</v>
      </c>
      <c r="K160" t="b">
        <v>1</v>
      </c>
      <c r="L160" t="b">
        <v>0</v>
      </c>
      <c r="M160" t="s">
        <v>1187</v>
      </c>
      <c r="N160" t="s">
        <v>1291</v>
      </c>
      <c r="O160" t="s">
        <v>1190</v>
      </c>
      <c r="P160" t="s">
        <v>1201</v>
      </c>
      <c r="Q160" t="s">
        <v>1535</v>
      </c>
    </row>
    <row r="161" spans="1:17" x14ac:dyDescent="0.25">
      <c r="A161" t="s">
        <v>39</v>
      </c>
      <c r="B161" t="s">
        <v>1540</v>
      </c>
      <c r="C161" t="s">
        <v>337</v>
      </c>
      <c r="D161" t="s">
        <v>1140</v>
      </c>
      <c r="E161">
        <v>496</v>
      </c>
      <c r="F161" t="s">
        <v>1290</v>
      </c>
      <c r="G161" t="s">
        <v>1541</v>
      </c>
      <c r="H161" t="s">
        <v>1394</v>
      </c>
      <c r="I161" t="s">
        <v>1430</v>
      </c>
      <c r="J161" t="s">
        <v>1187</v>
      </c>
      <c r="K161" t="b">
        <v>1</v>
      </c>
      <c r="L161" t="b">
        <v>0</v>
      </c>
      <c r="M161" t="s">
        <v>1187</v>
      </c>
      <c r="N161" t="s">
        <v>1291</v>
      </c>
      <c r="O161" t="s">
        <v>1190</v>
      </c>
      <c r="P161" t="s">
        <v>1201</v>
      </c>
      <c r="Q161" t="s">
        <v>1535</v>
      </c>
    </row>
    <row r="162" spans="1:17" x14ac:dyDescent="0.25">
      <c r="A162" t="s">
        <v>39</v>
      </c>
      <c r="B162" t="s">
        <v>1542</v>
      </c>
      <c r="C162" t="s">
        <v>337</v>
      </c>
      <c r="D162" t="s">
        <v>1141</v>
      </c>
      <c r="E162">
        <v>482.6</v>
      </c>
      <c r="F162" t="s">
        <v>1290</v>
      </c>
      <c r="G162" t="s">
        <v>1543</v>
      </c>
      <c r="H162" t="s">
        <v>1394</v>
      </c>
      <c r="I162" t="s">
        <v>1199</v>
      </c>
      <c r="J162" t="s">
        <v>1187</v>
      </c>
      <c r="K162" t="b">
        <v>1</v>
      </c>
      <c r="L162" t="b">
        <v>0</v>
      </c>
      <c r="M162" t="s">
        <v>1187</v>
      </c>
      <c r="N162" t="s">
        <v>1291</v>
      </c>
      <c r="O162" t="s">
        <v>1190</v>
      </c>
      <c r="P162" t="s">
        <v>1201</v>
      </c>
      <c r="Q162" t="s">
        <v>1535</v>
      </c>
    </row>
    <row r="163" spans="1:17" x14ac:dyDescent="0.25">
      <c r="A163" t="s">
        <v>39</v>
      </c>
      <c r="B163" t="s">
        <v>1544</v>
      </c>
      <c r="C163" t="s">
        <v>337</v>
      </c>
      <c r="D163" t="s">
        <v>1142</v>
      </c>
      <c r="E163">
        <v>463.4</v>
      </c>
      <c r="F163" t="s">
        <v>1290</v>
      </c>
      <c r="G163" t="s">
        <v>1545</v>
      </c>
      <c r="H163" t="s">
        <v>1394</v>
      </c>
      <c r="I163" t="s">
        <v>1205</v>
      </c>
      <c r="J163" t="s">
        <v>1187</v>
      </c>
      <c r="K163" t="b">
        <v>1</v>
      </c>
      <c r="L163" t="b">
        <v>0</v>
      </c>
      <c r="M163" t="s">
        <v>1187</v>
      </c>
      <c r="N163" t="s">
        <v>1291</v>
      </c>
      <c r="O163" t="s">
        <v>1190</v>
      </c>
      <c r="P163" t="s">
        <v>1201</v>
      </c>
      <c r="Q163" t="s">
        <v>1535</v>
      </c>
    </row>
    <row r="164" spans="1:17" x14ac:dyDescent="0.25">
      <c r="A164" t="s">
        <v>39</v>
      </c>
      <c r="B164" t="s">
        <v>1546</v>
      </c>
      <c r="C164" t="s">
        <v>337</v>
      </c>
      <c r="D164" t="s">
        <v>1143</v>
      </c>
      <c r="E164">
        <v>454.8</v>
      </c>
      <c r="F164" t="s">
        <v>1290</v>
      </c>
      <c r="G164" t="s">
        <v>1547</v>
      </c>
      <c r="H164" t="s">
        <v>1394</v>
      </c>
      <c r="I164" t="s">
        <v>1208</v>
      </c>
      <c r="J164" t="s">
        <v>1187</v>
      </c>
      <c r="K164" t="b">
        <v>1</v>
      </c>
      <c r="L164" t="b">
        <v>0</v>
      </c>
      <c r="M164" t="s">
        <v>1187</v>
      </c>
      <c r="N164" t="s">
        <v>1291</v>
      </c>
      <c r="O164" t="s">
        <v>1190</v>
      </c>
      <c r="P164" t="s">
        <v>1201</v>
      </c>
      <c r="Q164" t="s">
        <v>1535</v>
      </c>
    </row>
    <row r="165" spans="1:17" x14ac:dyDescent="0.25">
      <c r="A165" t="s">
        <v>39</v>
      </c>
      <c r="B165" t="s">
        <v>1548</v>
      </c>
      <c r="C165" t="s">
        <v>337</v>
      </c>
      <c r="D165" t="s">
        <v>1144</v>
      </c>
      <c r="E165">
        <v>546</v>
      </c>
      <c r="F165" t="s">
        <v>1290</v>
      </c>
      <c r="G165" t="s">
        <v>1549</v>
      </c>
      <c r="H165" t="s">
        <v>1394</v>
      </c>
      <c r="I165" t="s">
        <v>1402</v>
      </c>
      <c r="J165" t="s">
        <v>1187</v>
      </c>
      <c r="K165" t="b">
        <v>1</v>
      </c>
      <c r="L165" t="b">
        <v>0</v>
      </c>
      <c r="M165" t="s">
        <v>1187</v>
      </c>
      <c r="N165" t="s">
        <v>1291</v>
      </c>
      <c r="O165" t="s">
        <v>1190</v>
      </c>
      <c r="P165" t="s">
        <v>1201</v>
      </c>
      <c r="Q165" t="s">
        <v>1535</v>
      </c>
    </row>
    <row r="166" spans="1:17" x14ac:dyDescent="0.25">
      <c r="A166" t="s">
        <v>39</v>
      </c>
      <c r="B166" t="s">
        <v>1550</v>
      </c>
      <c r="C166" t="s">
        <v>337</v>
      </c>
      <c r="D166" t="s">
        <v>1145</v>
      </c>
      <c r="E166">
        <v>632</v>
      </c>
      <c r="F166" t="s">
        <v>1290</v>
      </c>
      <c r="G166" t="s">
        <v>1551</v>
      </c>
      <c r="H166" t="s">
        <v>1394</v>
      </c>
      <c r="I166" t="s">
        <v>1214</v>
      </c>
      <c r="J166" t="s">
        <v>1187</v>
      </c>
      <c r="K166" t="b">
        <v>1</v>
      </c>
      <c r="L166" t="b">
        <v>0</v>
      </c>
      <c r="M166" t="s">
        <v>1187</v>
      </c>
      <c r="N166" t="s">
        <v>1291</v>
      </c>
      <c r="O166" t="s">
        <v>1190</v>
      </c>
      <c r="P166" t="s">
        <v>1201</v>
      </c>
      <c r="Q166" t="s">
        <v>1535</v>
      </c>
    </row>
    <row r="167" spans="1:17" x14ac:dyDescent="0.25">
      <c r="A167" t="s">
        <v>39</v>
      </c>
      <c r="B167" t="s">
        <v>1552</v>
      </c>
      <c r="C167" t="s">
        <v>337</v>
      </c>
      <c r="D167" t="s">
        <v>1146</v>
      </c>
      <c r="E167">
        <v>612</v>
      </c>
      <c r="F167" t="s">
        <v>1290</v>
      </c>
      <c r="G167" t="s">
        <v>1553</v>
      </c>
      <c r="H167" t="s">
        <v>1394</v>
      </c>
      <c r="I167" t="s">
        <v>1217</v>
      </c>
      <c r="J167" t="s">
        <v>1187</v>
      </c>
      <c r="K167" t="b">
        <v>1</v>
      </c>
      <c r="L167" t="b">
        <v>0</v>
      </c>
      <c r="M167" t="s">
        <v>1187</v>
      </c>
      <c r="N167" t="s">
        <v>1291</v>
      </c>
      <c r="O167" t="s">
        <v>1190</v>
      </c>
      <c r="P167" t="s">
        <v>1201</v>
      </c>
      <c r="Q167" t="s">
        <v>1535</v>
      </c>
    </row>
    <row r="168" spans="1:17" x14ac:dyDescent="0.25">
      <c r="A168" t="s">
        <v>39</v>
      </c>
      <c r="B168" t="s">
        <v>1554</v>
      </c>
      <c r="C168" t="s">
        <v>337</v>
      </c>
      <c r="D168" t="s">
        <v>1147</v>
      </c>
      <c r="E168">
        <v>599</v>
      </c>
      <c r="F168" t="s">
        <v>1290</v>
      </c>
      <c r="G168" t="s">
        <v>1555</v>
      </c>
      <c r="H168" t="s">
        <v>1394</v>
      </c>
      <c r="I168" t="s">
        <v>1220</v>
      </c>
      <c r="J168" t="s">
        <v>1187</v>
      </c>
      <c r="K168" t="b">
        <v>1</v>
      </c>
      <c r="L168" t="b">
        <v>0</v>
      </c>
      <c r="M168" t="s">
        <v>1187</v>
      </c>
      <c r="N168" t="s">
        <v>1291</v>
      </c>
      <c r="O168" t="s">
        <v>1190</v>
      </c>
      <c r="P168" t="s">
        <v>1201</v>
      </c>
      <c r="Q168" t="s">
        <v>1535</v>
      </c>
    </row>
    <row r="169" spans="1:17" x14ac:dyDescent="0.25">
      <c r="A169" t="s">
        <v>39</v>
      </c>
      <c r="B169" t="s">
        <v>1556</v>
      </c>
      <c r="C169" t="s">
        <v>337</v>
      </c>
      <c r="D169" t="s">
        <v>1232</v>
      </c>
      <c r="E169">
        <v>655</v>
      </c>
      <c r="F169" t="s">
        <v>1290</v>
      </c>
      <c r="G169" t="s">
        <v>1557</v>
      </c>
      <c r="H169" t="s">
        <v>1394</v>
      </c>
      <c r="I169" t="s">
        <v>1402</v>
      </c>
      <c r="J169" t="s">
        <v>1187</v>
      </c>
      <c r="K169" t="b">
        <v>1</v>
      </c>
      <c r="L169" t="b">
        <v>0</v>
      </c>
      <c r="M169" t="s">
        <v>1187</v>
      </c>
      <c r="N169" t="s">
        <v>1291</v>
      </c>
      <c r="O169" t="s">
        <v>1190</v>
      </c>
      <c r="P169" t="s">
        <v>1201</v>
      </c>
      <c r="Q169" t="s">
        <v>1558</v>
      </c>
    </row>
    <row r="170" spans="1:17" x14ac:dyDescent="0.25">
      <c r="A170" t="s">
        <v>39</v>
      </c>
      <c r="B170" t="s">
        <v>1559</v>
      </c>
      <c r="C170" t="s">
        <v>338</v>
      </c>
      <c r="D170" t="s">
        <v>1137</v>
      </c>
      <c r="E170">
        <v>14622.2</v>
      </c>
      <c r="F170" t="s">
        <v>1197</v>
      </c>
      <c r="G170" t="s">
        <v>1560</v>
      </c>
      <c r="H170" t="s">
        <v>1394</v>
      </c>
      <c r="I170" t="s">
        <v>1420</v>
      </c>
      <c r="J170" t="s">
        <v>1187</v>
      </c>
      <c r="K170" t="b">
        <v>1</v>
      </c>
      <c r="L170" t="b">
        <v>0</v>
      </c>
      <c r="M170" t="s">
        <v>1187</v>
      </c>
      <c r="N170" t="s">
        <v>1291</v>
      </c>
      <c r="O170" t="s">
        <v>1190</v>
      </c>
      <c r="P170" t="s">
        <v>1201</v>
      </c>
      <c r="Q170" t="s">
        <v>1187</v>
      </c>
    </row>
    <row r="171" spans="1:17" x14ac:dyDescent="0.25">
      <c r="A171" t="s">
        <v>39</v>
      </c>
      <c r="B171" t="s">
        <v>1561</v>
      </c>
      <c r="C171" t="s">
        <v>338</v>
      </c>
      <c r="D171" t="s">
        <v>1138</v>
      </c>
      <c r="E171">
        <v>15353.6</v>
      </c>
      <c r="F171" t="s">
        <v>1197</v>
      </c>
      <c r="G171" t="s">
        <v>1562</v>
      </c>
      <c r="H171" t="s">
        <v>1394</v>
      </c>
      <c r="I171" t="s">
        <v>1424</v>
      </c>
      <c r="J171" t="s">
        <v>1187</v>
      </c>
      <c r="K171" t="b">
        <v>1</v>
      </c>
      <c r="L171" t="b">
        <v>0</v>
      </c>
      <c r="M171" t="s">
        <v>1187</v>
      </c>
      <c r="N171" t="s">
        <v>1291</v>
      </c>
      <c r="O171" t="s">
        <v>1190</v>
      </c>
      <c r="P171" t="s">
        <v>1201</v>
      </c>
      <c r="Q171" t="s">
        <v>1187</v>
      </c>
    </row>
    <row r="172" spans="1:17" x14ac:dyDescent="0.25">
      <c r="A172" t="s">
        <v>39</v>
      </c>
      <c r="B172" t="s">
        <v>1563</v>
      </c>
      <c r="C172" t="s">
        <v>338</v>
      </c>
      <c r="D172" t="s">
        <v>1139</v>
      </c>
      <c r="E172">
        <v>15290.7</v>
      </c>
      <c r="F172" t="s">
        <v>1197</v>
      </c>
      <c r="G172" t="s">
        <v>1564</v>
      </c>
      <c r="H172" t="s">
        <v>1394</v>
      </c>
      <c r="I172" t="s">
        <v>1427</v>
      </c>
      <c r="J172" t="s">
        <v>1187</v>
      </c>
      <c r="K172" t="b">
        <v>1</v>
      </c>
      <c r="L172" t="b">
        <v>0</v>
      </c>
      <c r="M172" t="s">
        <v>1187</v>
      </c>
      <c r="N172" t="s">
        <v>1291</v>
      </c>
      <c r="O172" t="s">
        <v>1190</v>
      </c>
      <c r="P172" t="s">
        <v>1201</v>
      </c>
      <c r="Q172" t="s">
        <v>1187</v>
      </c>
    </row>
    <row r="173" spans="1:17" x14ac:dyDescent="0.25">
      <c r="A173" t="s">
        <v>39</v>
      </c>
      <c r="B173" t="s">
        <v>1565</v>
      </c>
      <c r="C173" t="s">
        <v>338</v>
      </c>
      <c r="D173" t="s">
        <v>1140</v>
      </c>
      <c r="E173">
        <v>15834</v>
      </c>
      <c r="F173" t="s">
        <v>1197</v>
      </c>
      <c r="G173" t="s">
        <v>1566</v>
      </c>
      <c r="H173" t="s">
        <v>1394</v>
      </c>
      <c r="I173" t="s">
        <v>1402</v>
      </c>
      <c r="J173" t="s">
        <v>1187</v>
      </c>
      <c r="K173" t="b">
        <v>1</v>
      </c>
      <c r="L173" t="b">
        <v>0</v>
      </c>
      <c r="M173" t="s">
        <v>1187</v>
      </c>
      <c r="N173" t="s">
        <v>1291</v>
      </c>
      <c r="O173" t="s">
        <v>1190</v>
      </c>
      <c r="P173" t="s">
        <v>1201</v>
      </c>
      <c r="Q173" t="s">
        <v>1187</v>
      </c>
    </row>
    <row r="174" spans="1:17" x14ac:dyDescent="0.25">
      <c r="A174" t="s">
        <v>39</v>
      </c>
      <c r="B174" t="s">
        <v>1567</v>
      </c>
      <c r="C174" t="s">
        <v>338</v>
      </c>
      <c r="D174" t="s">
        <v>1141</v>
      </c>
      <c r="E174">
        <v>15852.3</v>
      </c>
      <c r="F174" t="s">
        <v>1197</v>
      </c>
      <c r="G174" t="s">
        <v>1568</v>
      </c>
      <c r="H174" t="s">
        <v>1394</v>
      </c>
      <c r="I174" t="s">
        <v>1199</v>
      </c>
      <c r="J174" t="s">
        <v>1187</v>
      </c>
      <c r="K174" t="b">
        <v>1</v>
      </c>
      <c r="L174" t="b">
        <v>0</v>
      </c>
      <c r="M174" t="s">
        <v>1187</v>
      </c>
      <c r="N174" t="s">
        <v>1291</v>
      </c>
      <c r="O174" t="s">
        <v>1190</v>
      </c>
      <c r="P174" t="s">
        <v>1201</v>
      </c>
      <c r="Q174" t="s">
        <v>1187</v>
      </c>
    </row>
    <row r="175" spans="1:17" x14ac:dyDescent="0.25">
      <c r="A175" t="s">
        <v>39</v>
      </c>
      <c r="B175" t="s">
        <v>1569</v>
      </c>
      <c r="C175" t="s">
        <v>338</v>
      </c>
      <c r="D175" t="s">
        <v>1142</v>
      </c>
      <c r="E175">
        <v>15864.9</v>
      </c>
      <c r="F175" t="s">
        <v>1197</v>
      </c>
      <c r="G175" t="s">
        <v>1570</v>
      </c>
      <c r="H175" t="s">
        <v>1394</v>
      </c>
      <c r="I175" t="s">
        <v>1205</v>
      </c>
      <c r="J175" t="s">
        <v>1187</v>
      </c>
      <c r="K175" t="b">
        <v>1</v>
      </c>
      <c r="L175" t="b">
        <v>0</v>
      </c>
      <c r="M175" t="s">
        <v>1187</v>
      </c>
      <c r="N175" t="s">
        <v>1291</v>
      </c>
      <c r="O175" t="s">
        <v>1190</v>
      </c>
      <c r="P175" t="s">
        <v>1201</v>
      </c>
      <c r="Q175" t="s">
        <v>1187</v>
      </c>
    </row>
    <row r="176" spans="1:17" x14ac:dyDescent="0.25">
      <c r="A176" t="s">
        <v>39</v>
      </c>
      <c r="B176" t="s">
        <v>1571</v>
      </c>
      <c r="C176" t="s">
        <v>338</v>
      </c>
      <c r="D176" t="s">
        <v>1143</v>
      </c>
      <c r="E176">
        <v>15883.1</v>
      </c>
      <c r="F176" t="s">
        <v>1197</v>
      </c>
      <c r="G176" t="s">
        <v>1572</v>
      </c>
      <c r="H176" t="s">
        <v>1394</v>
      </c>
      <c r="I176" t="s">
        <v>1208</v>
      </c>
      <c r="J176" t="s">
        <v>1187</v>
      </c>
      <c r="K176" t="b">
        <v>1</v>
      </c>
      <c r="L176" t="b">
        <v>0</v>
      </c>
      <c r="M176" t="s">
        <v>1187</v>
      </c>
      <c r="N176" t="s">
        <v>1291</v>
      </c>
      <c r="O176" t="s">
        <v>1190</v>
      </c>
      <c r="P176" t="s">
        <v>1201</v>
      </c>
      <c r="Q176" t="s">
        <v>1187</v>
      </c>
    </row>
    <row r="177" spans="1:17" x14ac:dyDescent="0.25">
      <c r="A177" t="s">
        <v>39</v>
      </c>
      <c r="B177" t="s">
        <v>1573</v>
      </c>
      <c r="C177" t="s">
        <v>338</v>
      </c>
      <c r="D177" t="s">
        <v>1144</v>
      </c>
      <c r="E177">
        <v>15982</v>
      </c>
      <c r="F177" t="s">
        <v>1197</v>
      </c>
      <c r="G177" t="s">
        <v>1574</v>
      </c>
      <c r="H177" t="s">
        <v>1394</v>
      </c>
      <c r="I177" t="s">
        <v>1402</v>
      </c>
      <c r="J177" t="s">
        <v>1187</v>
      </c>
      <c r="K177" t="b">
        <v>1</v>
      </c>
      <c r="L177" t="b">
        <v>0</v>
      </c>
      <c r="M177" t="s">
        <v>1187</v>
      </c>
      <c r="N177" t="s">
        <v>1291</v>
      </c>
      <c r="O177" t="s">
        <v>1190</v>
      </c>
      <c r="P177" t="s">
        <v>1201</v>
      </c>
      <c r="Q177" t="s">
        <v>1187</v>
      </c>
    </row>
    <row r="178" spans="1:17" x14ac:dyDescent="0.25">
      <c r="A178" t="s">
        <v>39</v>
      </c>
      <c r="B178" t="s">
        <v>1575</v>
      </c>
      <c r="C178" t="s">
        <v>338</v>
      </c>
      <c r="D178" t="s">
        <v>1145</v>
      </c>
      <c r="E178">
        <v>16585</v>
      </c>
      <c r="F178" t="s">
        <v>1197</v>
      </c>
      <c r="G178" t="s">
        <v>1576</v>
      </c>
      <c r="H178" t="s">
        <v>1394</v>
      </c>
      <c r="I178" t="s">
        <v>1214</v>
      </c>
      <c r="J178" t="s">
        <v>1187</v>
      </c>
      <c r="K178" t="b">
        <v>1</v>
      </c>
      <c r="L178" t="b">
        <v>0</v>
      </c>
      <c r="M178" t="s">
        <v>1187</v>
      </c>
      <c r="N178" t="s">
        <v>1291</v>
      </c>
      <c r="O178" t="s">
        <v>1190</v>
      </c>
      <c r="P178" t="s">
        <v>1201</v>
      </c>
      <c r="Q178" t="s">
        <v>1187</v>
      </c>
    </row>
    <row r="179" spans="1:17" x14ac:dyDescent="0.25">
      <c r="A179" t="s">
        <v>39</v>
      </c>
      <c r="B179" t="s">
        <v>1577</v>
      </c>
      <c r="C179" t="s">
        <v>338</v>
      </c>
      <c r="D179" t="s">
        <v>1146</v>
      </c>
      <c r="E179">
        <v>16626</v>
      </c>
      <c r="F179" t="s">
        <v>1197</v>
      </c>
      <c r="G179" t="s">
        <v>1578</v>
      </c>
      <c r="H179" t="s">
        <v>1394</v>
      </c>
      <c r="I179" t="s">
        <v>1217</v>
      </c>
      <c r="J179" t="s">
        <v>1187</v>
      </c>
      <c r="K179" t="b">
        <v>1</v>
      </c>
      <c r="L179" t="b">
        <v>0</v>
      </c>
      <c r="M179" t="s">
        <v>1187</v>
      </c>
      <c r="N179" t="s">
        <v>1291</v>
      </c>
      <c r="O179" t="s">
        <v>1190</v>
      </c>
      <c r="P179" t="s">
        <v>1201</v>
      </c>
      <c r="Q179" t="s">
        <v>1187</v>
      </c>
    </row>
    <row r="180" spans="1:17" x14ac:dyDescent="0.25">
      <c r="A180" t="s">
        <v>39</v>
      </c>
      <c r="B180" t="s">
        <v>1579</v>
      </c>
      <c r="C180" t="s">
        <v>338</v>
      </c>
      <c r="D180" t="s">
        <v>1147</v>
      </c>
      <c r="E180">
        <v>16699</v>
      </c>
      <c r="F180" t="s">
        <v>1197</v>
      </c>
      <c r="G180" t="s">
        <v>1580</v>
      </c>
      <c r="H180" t="s">
        <v>1394</v>
      </c>
      <c r="I180" t="s">
        <v>1220</v>
      </c>
      <c r="J180" t="s">
        <v>1187</v>
      </c>
      <c r="K180" t="b">
        <v>1</v>
      </c>
      <c r="L180" t="b">
        <v>0</v>
      </c>
      <c r="M180" t="s">
        <v>1187</v>
      </c>
      <c r="N180" t="s">
        <v>1291</v>
      </c>
      <c r="O180" t="s">
        <v>1190</v>
      </c>
      <c r="P180" t="s">
        <v>1201</v>
      </c>
      <c r="Q180" t="s">
        <v>1187</v>
      </c>
    </row>
    <row r="181" spans="1:17" x14ac:dyDescent="0.25">
      <c r="A181" t="s">
        <v>39</v>
      </c>
      <c r="B181" t="s">
        <v>1581</v>
      </c>
      <c r="C181" t="s">
        <v>338</v>
      </c>
      <c r="D181" t="s">
        <v>1232</v>
      </c>
      <c r="E181">
        <v>16715</v>
      </c>
      <c r="F181" t="s">
        <v>1197</v>
      </c>
      <c r="G181" t="s">
        <v>1582</v>
      </c>
      <c r="H181" t="s">
        <v>1394</v>
      </c>
      <c r="I181" t="s">
        <v>1402</v>
      </c>
      <c r="J181" t="s">
        <v>1187</v>
      </c>
      <c r="K181" t="b">
        <v>1</v>
      </c>
      <c r="L181" t="b">
        <v>0</v>
      </c>
      <c r="M181" t="s">
        <v>1187</v>
      </c>
      <c r="N181" t="s">
        <v>1291</v>
      </c>
      <c r="O181" t="s">
        <v>1190</v>
      </c>
      <c r="P181" t="s">
        <v>1201</v>
      </c>
      <c r="Q181" t="s">
        <v>1187</v>
      </c>
    </row>
    <row r="182" spans="1:17" x14ac:dyDescent="0.25">
      <c r="A182" t="s">
        <v>39</v>
      </c>
      <c r="B182" t="s">
        <v>1583</v>
      </c>
      <c r="C182" t="s">
        <v>339</v>
      </c>
      <c r="D182" t="s">
        <v>1137</v>
      </c>
      <c r="E182">
        <v>1203.7</v>
      </c>
      <c r="F182" t="s">
        <v>1290</v>
      </c>
      <c r="G182" t="s">
        <v>1584</v>
      </c>
      <c r="H182" t="s">
        <v>1394</v>
      </c>
      <c r="I182" t="s">
        <v>1585</v>
      </c>
      <c r="J182" t="s">
        <v>1187</v>
      </c>
      <c r="K182" t="b">
        <v>1</v>
      </c>
      <c r="L182" t="b">
        <v>0</v>
      </c>
      <c r="M182" t="s">
        <v>1187</v>
      </c>
      <c r="N182" t="s">
        <v>1291</v>
      </c>
      <c r="O182" t="s">
        <v>1190</v>
      </c>
      <c r="P182" t="s">
        <v>1201</v>
      </c>
      <c r="Q182" t="s">
        <v>1586</v>
      </c>
    </row>
    <row r="183" spans="1:17" x14ac:dyDescent="0.25">
      <c r="A183" t="s">
        <v>39</v>
      </c>
      <c r="B183" t="s">
        <v>1587</v>
      </c>
      <c r="C183" t="s">
        <v>339</v>
      </c>
      <c r="D183" t="s">
        <v>1138</v>
      </c>
      <c r="E183">
        <v>1214.8</v>
      </c>
      <c r="F183" t="s">
        <v>1290</v>
      </c>
      <c r="G183" t="s">
        <v>1588</v>
      </c>
      <c r="H183" t="s">
        <v>1394</v>
      </c>
      <c r="I183" t="s">
        <v>1589</v>
      </c>
      <c r="J183" t="s">
        <v>1187</v>
      </c>
      <c r="K183" t="b">
        <v>1</v>
      </c>
      <c r="L183" t="b">
        <v>0</v>
      </c>
      <c r="M183" t="s">
        <v>1187</v>
      </c>
      <c r="N183" t="s">
        <v>1291</v>
      </c>
      <c r="O183" t="s">
        <v>1190</v>
      </c>
      <c r="P183" t="s">
        <v>1201</v>
      </c>
      <c r="Q183" t="s">
        <v>1586</v>
      </c>
    </row>
    <row r="184" spans="1:17" x14ac:dyDescent="0.25">
      <c r="A184" t="s">
        <v>39</v>
      </c>
      <c r="B184" t="s">
        <v>1590</v>
      </c>
      <c r="C184" t="s">
        <v>339</v>
      </c>
      <c r="D184" t="s">
        <v>1139</v>
      </c>
      <c r="E184">
        <v>1255.1</v>
      </c>
      <c r="F184" t="s">
        <v>1290</v>
      </c>
      <c r="G184" t="s">
        <v>1591</v>
      </c>
      <c r="H184" t="s">
        <v>1394</v>
      </c>
      <c r="I184" t="s">
        <v>1592</v>
      </c>
      <c r="J184" t="s">
        <v>1187</v>
      </c>
      <c r="K184" t="b">
        <v>1</v>
      </c>
      <c r="L184" t="b">
        <v>0</v>
      </c>
      <c r="M184" t="s">
        <v>1187</v>
      </c>
      <c r="N184" t="s">
        <v>1291</v>
      </c>
      <c r="O184" t="s">
        <v>1190</v>
      </c>
      <c r="P184" t="s">
        <v>1201</v>
      </c>
      <c r="Q184" t="s">
        <v>1586</v>
      </c>
    </row>
    <row r="185" spans="1:17" x14ac:dyDescent="0.25">
      <c r="A185" t="s">
        <v>39</v>
      </c>
      <c r="B185" t="s">
        <v>1593</v>
      </c>
      <c r="C185" t="s">
        <v>339</v>
      </c>
      <c r="D185" t="s">
        <v>1140</v>
      </c>
      <c r="E185">
        <v>1348</v>
      </c>
      <c r="F185" t="s">
        <v>1290</v>
      </c>
      <c r="G185" t="s">
        <v>1594</v>
      </c>
      <c r="H185" t="s">
        <v>1394</v>
      </c>
      <c r="I185" t="s">
        <v>1595</v>
      </c>
      <c r="J185" t="s">
        <v>1187</v>
      </c>
      <c r="K185" t="b">
        <v>1</v>
      </c>
      <c r="L185" t="b">
        <v>0</v>
      </c>
      <c r="M185" t="s">
        <v>1187</v>
      </c>
      <c r="N185" t="s">
        <v>1291</v>
      </c>
      <c r="O185" t="s">
        <v>1190</v>
      </c>
      <c r="P185" t="s">
        <v>1201</v>
      </c>
      <c r="Q185" t="s">
        <v>1586</v>
      </c>
    </row>
    <row r="186" spans="1:17" x14ac:dyDescent="0.25">
      <c r="A186" t="s">
        <v>39</v>
      </c>
      <c r="B186" t="s">
        <v>1596</v>
      </c>
      <c r="C186" t="s">
        <v>339</v>
      </c>
      <c r="D186" t="s">
        <v>1141</v>
      </c>
      <c r="E186">
        <v>1463</v>
      </c>
      <c r="F186" t="s">
        <v>1290</v>
      </c>
      <c r="G186" t="s">
        <v>1597</v>
      </c>
      <c r="H186" t="s">
        <v>1394</v>
      </c>
      <c r="I186" t="s">
        <v>1598</v>
      </c>
      <c r="J186" t="s">
        <v>1187</v>
      </c>
      <c r="K186" t="b">
        <v>1</v>
      </c>
      <c r="L186" t="b">
        <v>0</v>
      </c>
      <c r="M186" t="s">
        <v>1187</v>
      </c>
      <c r="N186" t="s">
        <v>1291</v>
      </c>
      <c r="O186" t="s">
        <v>1190</v>
      </c>
      <c r="P186" t="s">
        <v>1201</v>
      </c>
      <c r="Q186" t="s">
        <v>1586</v>
      </c>
    </row>
    <row r="187" spans="1:17" x14ac:dyDescent="0.25">
      <c r="A187" t="s">
        <v>39</v>
      </c>
      <c r="B187" t="s">
        <v>1599</v>
      </c>
      <c r="C187" t="s">
        <v>339</v>
      </c>
      <c r="D187" t="s">
        <v>1142</v>
      </c>
      <c r="E187">
        <v>1499.5</v>
      </c>
      <c r="F187" t="s">
        <v>1290</v>
      </c>
      <c r="G187" t="s">
        <v>1600</v>
      </c>
      <c r="H187" t="s">
        <v>1394</v>
      </c>
      <c r="I187" t="s">
        <v>1601</v>
      </c>
      <c r="J187" t="s">
        <v>1187</v>
      </c>
      <c r="K187" t="b">
        <v>1</v>
      </c>
      <c r="L187" t="b">
        <v>0</v>
      </c>
      <c r="M187" t="s">
        <v>1187</v>
      </c>
      <c r="N187" t="s">
        <v>1291</v>
      </c>
      <c r="O187" t="s">
        <v>1190</v>
      </c>
      <c r="P187" t="s">
        <v>1201</v>
      </c>
      <c r="Q187" t="s">
        <v>1586</v>
      </c>
    </row>
    <row r="188" spans="1:17" x14ac:dyDescent="0.25">
      <c r="A188" t="s">
        <v>39</v>
      </c>
      <c r="B188" t="s">
        <v>1602</v>
      </c>
      <c r="C188" t="s">
        <v>339</v>
      </c>
      <c r="D188" t="s">
        <v>1143</v>
      </c>
      <c r="E188">
        <v>1602.1</v>
      </c>
      <c r="F188" t="s">
        <v>1290</v>
      </c>
      <c r="G188" t="s">
        <v>1603</v>
      </c>
      <c r="H188" t="s">
        <v>1394</v>
      </c>
      <c r="I188" t="s">
        <v>1604</v>
      </c>
      <c r="J188" t="s">
        <v>1187</v>
      </c>
      <c r="K188" t="b">
        <v>1</v>
      </c>
      <c r="L188" t="b">
        <v>0</v>
      </c>
      <c r="M188" t="s">
        <v>1187</v>
      </c>
      <c r="N188" t="s">
        <v>1291</v>
      </c>
      <c r="O188" t="s">
        <v>1190</v>
      </c>
      <c r="P188" t="s">
        <v>1201</v>
      </c>
      <c r="Q188" t="s">
        <v>1586</v>
      </c>
    </row>
    <row r="189" spans="1:17" x14ac:dyDescent="0.25">
      <c r="A189" t="s">
        <v>39</v>
      </c>
      <c r="B189" t="s">
        <v>1605</v>
      </c>
      <c r="C189" t="s">
        <v>339</v>
      </c>
      <c r="D189" t="s">
        <v>1144</v>
      </c>
      <c r="E189">
        <v>1591</v>
      </c>
      <c r="F189" t="s">
        <v>1290</v>
      </c>
      <c r="G189" t="s">
        <v>1606</v>
      </c>
      <c r="H189" t="s">
        <v>1394</v>
      </c>
      <c r="I189" t="s">
        <v>1402</v>
      </c>
      <c r="J189" t="s">
        <v>1187</v>
      </c>
      <c r="K189" t="b">
        <v>1</v>
      </c>
      <c r="L189" t="b">
        <v>0</v>
      </c>
      <c r="M189" t="s">
        <v>1187</v>
      </c>
      <c r="N189" t="s">
        <v>1291</v>
      </c>
      <c r="O189" t="s">
        <v>1190</v>
      </c>
      <c r="P189" t="s">
        <v>1201</v>
      </c>
      <c r="Q189" t="s">
        <v>1607</v>
      </c>
    </row>
    <row r="190" spans="1:17" x14ac:dyDescent="0.25">
      <c r="A190" t="s">
        <v>39</v>
      </c>
      <c r="B190" t="s">
        <v>1608</v>
      </c>
      <c r="C190" t="s">
        <v>339</v>
      </c>
      <c r="D190" t="s">
        <v>1145</v>
      </c>
      <c r="E190">
        <v>1616</v>
      </c>
      <c r="F190" t="s">
        <v>1290</v>
      </c>
      <c r="G190" t="s">
        <v>1609</v>
      </c>
      <c r="H190" t="s">
        <v>1394</v>
      </c>
      <c r="I190" t="s">
        <v>1610</v>
      </c>
      <c r="J190" t="s">
        <v>1187</v>
      </c>
      <c r="K190" t="b">
        <v>1</v>
      </c>
      <c r="L190" t="b">
        <v>0</v>
      </c>
      <c r="M190" t="s">
        <v>1187</v>
      </c>
      <c r="N190" t="s">
        <v>1291</v>
      </c>
      <c r="O190" t="s">
        <v>1190</v>
      </c>
      <c r="P190" t="s">
        <v>1201</v>
      </c>
      <c r="Q190" t="s">
        <v>1586</v>
      </c>
    </row>
    <row r="191" spans="1:17" x14ac:dyDescent="0.25">
      <c r="A191" t="s">
        <v>39</v>
      </c>
      <c r="B191" t="s">
        <v>1611</v>
      </c>
      <c r="C191" t="s">
        <v>339</v>
      </c>
      <c r="D191" t="s">
        <v>1146</v>
      </c>
      <c r="E191">
        <v>1694</v>
      </c>
      <c r="F191" t="s">
        <v>1290</v>
      </c>
      <c r="G191" t="s">
        <v>1612</v>
      </c>
      <c r="H191" t="s">
        <v>1394</v>
      </c>
      <c r="I191" t="s">
        <v>1217</v>
      </c>
      <c r="J191" t="s">
        <v>1187</v>
      </c>
      <c r="K191" t="b">
        <v>1</v>
      </c>
      <c r="L191" t="b">
        <v>0</v>
      </c>
      <c r="M191" t="s">
        <v>1187</v>
      </c>
      <c r="N191" t="s">
        <v>1291</v>
      </c>
      <c r="O191" t="s">
        <v>1190</v>
      </c>
      <c r="P191" t="s">
        <v>1201</v>
      </c>
      <c r="Q191" t="s">
        <v>1586</v>
      </c>
    </row>
    <row r="192" spans="1:17" x14ac:dyDescent="0.25">
      <c r="A192" t="s">
        <v>39</v>
      </c>
      <c r="B192" t="s">
        <v>1613</v>
      </c>
      <c r="C192" t="s">
        <v>339</v>
      </c>
      <c r="D192" t="s">
        <v>1147</v>
      </c>
      <c r="E192">
        <v>1815</v>
      </c>
      <c r="F192" t="s">
        <v>1290</v>
      </c>
      <c r="G192" t="s">
        <v>1614</v>
      </c>
      <c r="H192" t="s">
        <v>1394</v>
      </c>
      <c r="I192" t="s">
        <v>1220</v>
      </c>
      <c r="J192" t="s">
        <v>1187</v>
      </c>
      <c r="K192" t="b">
        <v>1</v>
      </c>
      <c r="L192" t="b">
        <v>0</v>
      </c>
      <c r="M192" t="s">
        <v>1187</v>
      </c>
      <c r="N192" t="s">
        <v>1291</v>
      </c>
      <c r="O192" t="s">
        <v>1190</v>
      </c>
      <c r="P192" t="s">
        <v>1201</v>
      </c>
      <c r="Q192" t="s">
        <v>1586</v>
      </c>
    </row>
    <row r="193" spans="1:17" x14ac:dyDescent="0.25">
      <c r="A193" t="s">
        <v>39</v>
      </c>
      <c r="B193" t="s">
        <v>1615</v>
      </c>
      <c r="C193" t="s">
        <v>339</v>
      </c>
      <c r="D193" t="s">
        <v>1232</v>
      </c>
      <c r="E193">
        <v>1834</v>
      </c>
      <c r="F193" t="s">
        <v>1290</v>
      </c>
      <c r="G193" t="s">
        <v>1616</v>
      </c>
      <c r="H193" t="s">
        <v>1394</v>
      </c>
      <c r="I193" t="s">
        <v>1617</v>
      </c>
      <c r="J193" t="s">
        <v>1187</v>
      </c>
      <c r="K193" t="b">
        <v>1</v>
      </c>
      <c r="L193" t="b">
        <v>0</v>
      </c>
      <c r="M193" t="s">
        <v>1187</v>
      </c>
      <c r="N193" t="s">
        <v>1291</v>
      </c>
      <c r="O193" t="s">
        <v>1190</v>
      </c>
      <c r="P193" t="s">
        <v>1201</v>
      </c>
      <c r="Q193" t="s">
        <v>1618</v>
      </c>
    </row>
    <row r="194" spans="1:17" x14ac:dyDescent="0.25">
      <c r="A194" t="s">
        <v>39</v>
      </c>
      <c r="B194" t="s">
        <v>1619</v>
      </c>
      <c r="C194" t="s">
        <v>342</v>
      </c>
      <c r="D194" t="s">
        <v>1137</v>
      </c>
      <c r="E194">
        <v>984.2</v>
      </c>
      <c r="F194" t="s">
        <v>1290</v>
      </c>
      <c r="G194" t="s">
        <v>1620</v>
      </c>
      <c r="H194" t="s">
        <v>1394</v>
      </c>
      <c r="I194" t="s">
        <v>1420</v>
      </c>
      <c r="J194" t="s">
        <v>1187</v>
      </c>
      <c r="K194" t="b">
        <v>1</v>
      </c>
      <c r="L194" t="b">
        <v>0</v>
      </c>
      <c r="M194" t="s">
        <v>1187</v>
      </c>
      <c r="N194" t="s">
        <v>1291</v>
      </c>
      <c r="O194" t="s">
        <v>1190</v>
      </c>
      <c r="P194" t="s">
        <v>1201</v>
      </c>
      <c r="Q194" t="s">
        <v>1621</v>
      </c>
    </row>
    <row r="195" spans="1:17" x14ac:dyDescent="0.25">
      <c r="A195" t="s">
        <v>39</v>
      </c>
      <c r="B195" t="s">
        <v>1622</v>
      </c>
      <c r="C195" t="s">
        <v>342</v>
      </c>
      <c r="D195" t="s">
        <v>1138</v>
      </c>
      <c r="E195">
        <v>1098.4</v>
      </c>
      <c r="F195" t="s">
        <v>1290</v>
      </c>
      <c r="G195" t="s">
        <v>1623</v>
      </c>
      <c r="H195" t="s">
        <v>1394</v>
      </c>
      <c r="I195" t="s">
        <v>1424</v>
      </c>
      <c r="J195" t="s">
        <v>1187</v>
      </c>
      <c r="K195" t="b">
        <v>1</v>
      </c>
      <c r="L195" t="b">
        <v>0</v>
      </c>
      <c r="M195" t="s">
        <v>1187</v>
      </c>
      <c r="N195" t="s">
        <v>1291</v>
      </c>
      <c r="O195" t="s">
        <v>1190</v>
      </c>
      <c r="P195" t="s">
        <v>1201</v>
      </c>
      <c r="Q195" t="s">
        <v>1621</v>
      </c>
    </row>
    <row r="196" spans="1:17" x14ac:dyDescent="0.25">
      <c r="A196" t="s">
        <v>39</v>
      </c>
      <c r="B196" t="s">
        <v>1624</v>
      </c>
      <c r="C196" t="s">
        <v>342</v>
      </c>
      <c r="D196" t="s">
        <v>1139</v>
      </c>
      <c r="E196">
        <v>1198.2</v>
      </c>
      <c r="F196" t="s">
        <v>1290</v>
      </c>
      <c r="G196" t="s">
        <v>1625</v>
      </c>
      <c r="H196" t="s">
        <v>1394</v>
      </c>
      <c r="I196" t="s">
        <v>1427</v>
      </c>
      <c r="J196" t="s">
        <v>1187</v>
      </c>
      <c r="K196" t="b">
        <v>1</v>
      </c>
      <c r="L196" t="b">
        <v>0</v>
      </c>
      <c r="M196" t="s">
        <v>1187</v>
      </c>
      <c r="N196" t="s">
        <v>1291</v>
      </c>
      <c r="O196" t="s">
        <v>1190</v>
      </c>
      <c r="P196" t="s">
        <v>1201</v>
      </c>
      <c r="Q196" t="s">
        <v>1621</v>
      </c>
    </row>
    <row r="197" spans="1:17" x14ac:dyDescent="0.25">
      <c r="A197" t="s">
        <v>39</v>
      </c>
      <c r="B197" t="s">
        <v>1626</v>
      </c>
      <c r="C197" t="s">
        <v>342</v>
      </c>
      <c r="D197" t="s">
        <v>1140</v>
      </c>
      <c r="E197">
        <v>1412</v>
      </c>
      <c r="F197" t="s">
        <v>1290</v>
      </c>
      <c r="G197" t="s">
        <v>1627</v>
      </c>
      <c r="H197" t="s">
        <v>1394</v>
      </c>
      <c r="I197" t="s">
        <v>1430</v>
      </c>
      <c r="J197" t="s">
        <v>1187</v>
      </c>
      <c r="K197" t="b">
        <v>1</v>
      </c>
      <c r="L197" t="b">
        <v>0</v>
      </c>
      <c r="M197" t="s">
        <v>1187</v>
      </c>
      <c r="N197" t="s">
        <v>1291</v>
      </c>
      <c r="O197" t="s">
        <v>1190</v>
      </c>
      <c r="P197" t="s">
        <v>1201</v>
      </c>
      <c r="Q197" t="s">
        <v>1621</v>
      </c>
    </row>
    <row r="198" spans="1:17" x14ac:dyDescent="0.25">
      <c r="A198" t="s">
        <v>39</v>
      </c>
      <c r="B198" t="s">
        <v>1628</v>
      </c>
      <c r="C198" t="s">
        <v>342</v>
      </c>
      <c r="D198" t="s">
        <v>1141</v>
      </c>
      <c r="E198">
        <v>1179.2</v>
      </c>
      <c r="F198" t="s">
        <v>1290</v>
      </c>
      <c r="G198" t="s">
        <v>1629</v>
      </c>
      <c r="H198" t="s">
        <v>1394</v>
      </c>
      <c r="I198" t="s">
        <v>1199</v>
      </c>
      <c r="J198" t="s">
        <v>1187</v>
      </c>
      <c r="K198" t="b">
        <v>1</v>
      </c>
      <c r="L198" t="b">
        <v>0</v>
      </c>
      <c r="M198" t="s">
        <v>1187</v>
      </c>
      <c r="N198" t="s">
        <v>1291</v>
      </c>
      <c r="O198" t="s">
        <v>1190</v>
      </c>
      <c r="P198" t="s">
        <v>1201</v>
      </c>
      <c r="Q198" t="s">
        <v>1621</v>
      </c>
    </row>
    <row r="199" spans="1:17" x14ac:dyDescent="0.25">
      <c r="A199" t="s">
        <v>39</v>
      </c>
      <c r="B199" t="s">
        <v>1630</v>
      </c>
      <c r="C199" t="s">
        <v>342</v>
      </c>
      <c r="D199" t="s">
        <v>1142</v>
      </c>
      <c r="E199">
        <v>1285.5</v>
      </c>
      <c r="F199" t="s">
        <v>1290</v>
      </c>
      <c r="G199" t="s">
        <v>1631</v>
      </c>
      <c r="H199" t="s">
        <v>1394</v>
      </c>
      <c r="I199" t="s">
        <v>1205</v>
      </c>
      <c r="J199" t="s">
        <v>1187</v>
      </c>
      <c r="K199" t="b">
        <v>1</v>
      </c>
      <c r="L199" t="b">
        <v>0</v>
      </c>
      <c r="M199" t="s">
        <v>1187</v>
      </c>
      <c r="N199" t="s">
        <v>1291</v>
      </c>
      <c r="O199" t="s">
        <v>1190</v>
      </c>
      <c r="P199" t="s">
        <v>1201</v>
      </c>
      <c r="Q199" t="s">
        <v>1621</v>
      </c>
    </row>
    <row r="200" spans="1:17" x14ac:dyDescent="0.25">
      <c r="A200" t="s">
        <v>39</v>
      </c>
      <c r="B200" t="s">
        <v>1632</v>
      </c>
      <c r="C200" t="s">
        <v>342</v>
      </c>
      <c r="D200" t="s">
        <v>1143</v>
      </c>
      <c r="E200">
        <v>1225.4</v>
      </c>
      <c r="F200" t="s">
        <v>1290</v>
      </c>
      <c r="G200" t="s">
        <v>1633</v>
      </c>
      <c r="H200" t="s">
        <v>1394</v>
      </c>
      <c r="I200" t="s">
        <v>1208</v>
      </c>
      <c r="J200" t="s">
        <v>1187</v>
      </c>
      <c r="K200" t="b">
        <v>1</v>
      </c>
      <c r="L200" t="b">
        <v>0</v>
      </c>
      <c r="M200" t="s">
        <v>1187</v>
      </c>
      <c r="N200" t="s">
        <v>1291</v>
      </c>
      <c r="O200" t="s">
        <v>1190</v>
      </c>
      <c r="P200" t="s">
        <v>1201</v>
      </c>
      <c r="Q200" t="s">
        <v>1621</v>
      </c>
    </row>
    <row r="201" spans="1:17" x14ac:dyDescent="0.25">
      <c r="A201" t="s">
        <v>39</v>
      </c>
      <c r="B201" t="s">
        <v>1634</v>
      </c>
      <c r="C201" t="s">
        <v>342</v>
      </c>
      <c r="D201" t="s">
        <v>1144</v>
      </c>
      <c r="E201">
        <v>1345</v>
      </c>
      <c r="F201" t="s">
        <v>1290</v>
      </c>
      <c r="G201" t="s">
        <v>1635</v>
      </c>
      <c r="H201" t="s">
        <v>1394</v>
      </c>
      <c r="I201" t="s">
        <v>1402</v>
      </c>
      <c r="J201" t="s">
        <v>1187</v>
      </c>
      <c r="K201" t="b">
        <v>1</v>
      </c>
      <c r="L201" t="b">
        <v>0</v>
      </c>
      <c r="M201" t="s">
        <v>1187</v>
      </c>
      <c r="N201" t="s">
        <v>1291</v>
      </c>
      <c r="O201" t="s">
        <v>1190</v>
      </c>
      <c r="P201" t="s">
        <v>1201</v>
      </c>
      <c r="Q201" t="s">
        <v>1621</v>
      </c>
    </row>
    <row r="202" spans="1:17" x14ac:dyDescent="0.25">
      <c r="A202" t="s">
        <v>39</v>
      </c>
      <c r="B202" t="s">
        <v>1636</v>
      </c>
      <c r="C202" t="s">
        <v>342</v>
      </c>
      <c r="D202" t="s">
        <v>1145</v>
      </c>
      <c r="E202">
        <v>1154</v>
      </c>
      <c r="F202" t="s">
        <v>1290</v>
      </c>
      <c r="G202" t="s">
        <v>1637</v>
      </c>
      <c r="H202" t="s">
        <v>1394</v>
      </c>
      <c r="I202" t="s">
        <v>1214</v>
      </c>
      <c r="J202" t="s">
        <v>1187</v>
      </c>
      <c r="K202" t="b">
        <v>1</v>
      </c>
      <c r="L202" t="b">
        <v>0</v>
      </c>
      <c r="M202" t="s">
        <v>1187</v>
      </c>
      <c r="N202" t="s">
        <v>1291</v>
      </c>
      <c r="O202" t="s">
        <v>1190</v>
      </c>
      <c r="P202" t="s">
        <v>1201</v>
      </c>
      <c r="Q202" t="s">
        <v>1621</v>
      </c>
    </row>
    <row r="203" spans="1:17" x14ac:dyDescent="0.25">
      <c r="A203" t="s">
        <v>39</v>
      </c>
      <c r="B203" t="s">
        <v>1638</v>
      </c>
      <c r="C203" t="s">
        <v>342</v>
      </c>
      <c r="D203" t="s">
        <v>1146</v>
      </c>
      <c r="E203">
        <v>1199</v>
      </c>
      <c r="F203" t="s">
        <v>1290</v>
      </c>
      <c r="G203" t="s">
        <v>1639</v>
      </c>
      <c r="H203" t="s">
        <v>1394</v>
      </c>
      <c r="I203" t="s">
        <v>1217</v>
      </c>
      <c r="J203" t="s">
        <v>1187</v>
      </c>
      <c r="K203" t="b">
        <v>1</v>
      </c>
      <c r="L203" t="b">
        <v>0</v>
      </c>
      <c r="M203" t="s">
        <v>1187</v>
      </c>
      <c r="N203" t="s">
        <v>1291</v>
      </c>
      <c r="O203" t="s">
        <v>1190</v>
      </c>
      <c r="P203" t="s">
        <v>1201</v>
      </c>
      <c r="Q203" t="s">
        <v>1621</v>
      </c>
    </row>
    <row r="204" spans="1:17" x14ac:dyDescent="0.25">
      <c r="A204" t="s">
        <v>39</v>
      </c>
      <c r="B204" t="s">
        <v>1640</v>
      </c>
      <c r="C204" t="s">
        <v>342</v>
      </c>
      <c r="D204" t="s">
        <v>1147</v>
      </c>
      <c r="E204">
        <v>1247</v>
      </c>
      <c r="F204" t="s">
        <v>1290</v>
      </c>
      <c r="G204" t="s">
        <v>1641</v>
      </c>
      <c r="H204" t="s">
        <v>1394</v>
      </c>
      <c r="I204" t="s">
        <v>1220</v>
      </c>
      <c r="J204" t="s">
        <v>1187</v>
      </c>
      <c r="K204" t="b">
        <v>1</v>
      </c>
      <c r="L204" t="b">
        <v>0</v>
      </c>
      <c r="M204" t="s">
        <v>1187</v>
      </c>
      <c r="N204" t="s">
        <v>1291</v>
      </c>
      <c r="O204" t="s">
        <v>1190</v>
      </c>
      <c r="P204" t="s">
        <v>1201</v>
      </c>
      <c r="Q204" t="s">
        <v>1621</v>
      </c>
    </row>
    <row r="205" spans="1:17" x14ac:dyDescent="0.25">
      <c r="A205" t="s">
        <v>39</v>
      </c>
      <c r="B205" t="s">
        <v>1642</v>
      </c>
      <c r="C205" t="s">
        <v>342</v>
      </c>
      <c r="D205" t="s">
        <v>1232</v>
      </c>
      <c r="E205">
        <v>1374</v>
      </c>
      <c r="F205" t="s">
        <v>1290</v>
      </c>
      <c r="G205" t="s">
        <v>1643</v>
      </c>
      <c r="H205" t="s">
        <v>1394</v>
      </c>
      <c r="I205" t="s">
        <v>1402</v>
      </c>
      <c r="J205" t="s">
        <v>1187</v>
      </c>
      <c r="K205" t="b">
        <v>1</v>
      </c>
      <c r="L205" t="b">
        <v>0</v>
      </c>
      <c r="M205" t="s">
        <v>1187</v>
      </c>
      <c r="N205" t="s">
        <v>1291</v>
      </c>
      <c r="O205" t="s">
        <v>1190</v>
      </c>
      <c r="P205" t="s">
        <v>1201</v>
      </c>
      <c r="Q205" t="s">
        <v>1644</v>
      </c>
    </row>
    <row r="206" spans="1:17" x14ac:dyDescent="0.25">
      <c r="A206" t="s">
        <v>39</v>
      </c>
      <c r="B206" t="s">
        <v>1645</v>
      </c>
      <c r="C206" t="s">
        <v>343</v>
      </c>
      <c r="D206" t="s">
        <v>1137</v>
      </c>
      <c r="E206">
        <v>212.2</v>
      </c>
      <c r="F206" t="s">
        <v>1197</v>
      </c>
      <c r="G206" t="s">
        <v>1646</v>
      </c>
      <c r="H206" t="s">
        <v>1394</v>
      </c>
      <c r="I206" t="s">
        <v>1420</v>
      </c>
      <c r="J206" t="s">
        <v>1187</v>
      </c>
      <c r="K206" t="b">
        <v>1</v>
      </c>
      <c r="L206" t="b">
        <v>0</v>
      </c>
      <c r="M206" t="s">
        <v>1187</v>
      </c>
      <c r="N206" t="s">
        <v>1291</v>
      </c>
      <c r="O206" t="s">
        <v>1190</v>
      </c>
      <c r="P206" t="s">
        <v>1201</v>
      </c>
      <c r="Q206" t="s">
        <v>1187</v>
      </c>
    </row>
    <row r="207" spans="1:17" x14ac:dyDescent="0.25">
      <c r="A207" t="s">
        <v>39</v>
      </c>
      <c r="B207" t="s">
        <v>1647</v>
      </c>
      <c r="C207" t="s">
        <v>343</v>
      </c>
      <c r="D207" t="s">
        <v>1138</v>
      </c>
      <c r="E207">
        <v>264.8</v>
      </c>
      <c r="F207" t="s">
        <v>1197</v>
      </c>
      <c r="G207" t="s">
        <v>1648</v>
      </c>
      <c r="H207" t="s">
        <v>1394</v>
      </c>
      <c r="I207" t="s">
        <v>1424</v>
      </c>
      <c r="J207" t="s">
        <v>1187</v>
      </c>
      <c r="K207" t="b">
        <v>1</v>
      </c>
      <c r="L207" t="b">
        <v>0</v>
      </c>
      <c r="M207" t="s">
        <v>1187</v>
      </c>
      <c r="N207" t="s">
        <v>1291</v>
      </c>
      <c r="O207" t="s">
        <v>1190</v>
      </c>
      <c r="P207" t="s">
        <v>1201</v>
      </c>
      <c r="Q207" t="s">
        <v>1187</v>
      </c>
    </row>
    <row r="208" spans="1:17" x14ac:dyDescent="0.25">
      <c r="A208" t="s">
        <v>39</v>
      </c>
      <c r="B208" t="s">
        <v>1649</v>
      </c>
      <c r="C208" t="s">
        <v>343</v>
      </c>
      <c r="D208" t="s">
        <v>1139</v>
      </c>
      <c r="E208">
        <v>97.9</v>
      </c>
      <c r="F208" t="s">
        <v>1197</v>
      </c>
      <c r="G208" t="s">
        <v>1650</v>
      </c>
      <c r="H208" t="s">
        <v>1394</v>
      </c>
      <c r="I208" t="s">
        <v>1427</v>
      </c>
      <c r="J208" t="s">
        <v>1187</v>
      </c>
      <c r="K208" t="b">
        <v>1</v>
      </c>
      <c r="L208" t="b">
        <v>0</v>
      </c>
      <c r="M208" t="s">
        <v>1187</v>
      </c>
      <c r="N208" t="s">
        <v>1291</v>
      </c>
      <c r="O208" t="s">
        <v>1190</v>
      </c>
      <c r="P208" t="s">
        <v>1201</v>
      </c>
      <c r="Q208" t="s">
        <v>1187</v>
      </c>
    </row>
    <row r="209" spans="1:17" x14ac:dyDescent="0.25">
      <c r="A209" t="s">
        <v>39</v>
      </c>
      <c r="B209" t="s">
        <v>1651</v>
      </c>
      <c r="C209" t="s">
        <v>343</v>
      </c>
      <c r="D209" t="s">
        <v>1140</v>
      </c>
      <c r="E209">
        <v>2.1</v>
      </c>
      <c r="F209" t="s">
        <v>1197</v>
      </c>
      <c r="G209" t="s">
        <v>1652</v>
      </c>
      <c r="H209" t="s">
        <v>1394</v>
      </c>
      <c r="I209" t="s">
        <v>1208</v>
      </c>
      <c r="J209" t="s">
        <v>1187</v>
      </c>
      <c r="K209" t="b">
        <v>1</v>
      </c>
      <c r="L209" t="b">
        <v>0</v>
      </c>
      <c r="M209" t="s">
        <v>1187</v>
      </c>
      <c r="N209" t="s">
        <v>1291</v>
      </c>
      <c r="O209" t="s">
        <v>1190</v>
      </c>
      <c r="P209" t="s">
        <v>1201</v>
      </c>
      <c r="Q209" t="s">
        <v>1187</v>
      </c>
    </row>
    <row r="210" spans="1:17" x14ac:dyDescent="0.25">
      <c r="A210" t="s">
        <v>39</v>
      </c>
      <c r="B210" t="s">
        <v>1653</v>
      </c>
      <c r="C210" t="s">
        <v>343</v>
      </c>
      <c r="D210" t="s">
        <v>1141</v>
      </c>
      <c r="E210">
        <v>225.5</v>
      </c>
      <c r="F210" t="s">
        <v>1197</v>
      </c>
      <c r="G210" t="s">
        <v>1654</v>
      </c>
      <c r="H210" t="s">
        <v>1394</v>
      </c>
      <c r="I210" t="s">
        <v>1199</v>
      </c>
      <c r="J210" t="s">
        <v>1187</v>
      </c>
      <c r="K210" t="b">
        <v>1</v>
      </c>
      <c r="L210" t="b">
        <v>0</v>
      </c>
      <c r="M210" t="s">
        <v>1187</v>
      </c>
      <c r="N210" t="s">
        <v>1291</v>
      </c>
      <c r="O210" t="s">
        <v>1190</v>
      </c>
      <c r="P210" t="s">
        <v>1201</v>
      </c>
      <c r="Q210" t="s">
        <v>1187</v>
      </c>
    </row>
    <row r="211" spans="1:17" x14ac:dyDescent="0.25">
      <c r="A211" t="s">
        <v>39</v>
      </c>
      <c r="B211" t="s">
        <v>1655</v>
      </c>
      <c r="C211" t="s">
        <v>343</v>
      </c>
      <c r="D211" t="s">
        <v>1142</v>
      </c>
      <c r="E211">
        <v>41.8</v>
      </c>
      <c r="F211" t="s">
        <v>1197</v>
      </c>
      <c r="G211" t="s">
        <v>1656</v>
      </c>
      <c r="H211" t="s">
        <v>1394</v>
      </c>
      <c r="I211" t="s">
        <v>1205</v>
      </c>
      <c r="J211" t="s">
        <v>1187</v>
      </c>
      <c r="K211" t="b">
        <v>1</v>
      </c>
      <c r="L211" t="b">
        <v>0</v>
      </c>
      <c r="M211" t="s">
        <v>1187</v>
      </c>
      <c r="N211" t="s">
        <v>1291</v>
      </c>
      <c r="O211" t="s">
        <v>1190</v>
      </c>
      <c r="P211" t="s">
        <v>1201</v>
      </c>
      <c r="Q211" t="s">
        <v>1187</v>
      </c>
    </row>
    <row r="212" spans="1:17" x14ac:dyDescent="0.25">
      <c r="A212" t="s">
        <v>39</v>
      </c>
      <c r="B212" t="s">
        <v>1657</v>
      </c>
      <c r="C212" t="s">
        <v>343</v>
      </c>
      <c r="D212" t="s">
        <v>1143</v>
      </c>
      <c r="E212">
        <v>23.2</v>
      </c>
      <c r="F212" t="s">
        <v>1197</v>
      </c>
      <c r="G212" t="s">
        <v>1658</v>
      </c>
      <c r="H212" t="s">
        <v>1394</v>
      </c>
      <c r="I212" t="s">
        <v>1208</v>
      </c>
      <c r="J212" t="s">
        <v>1187</v>
      </c>
      <c r="K212" t="b">
        <v>1</v>
      </c>
      <c r="L212" t="b">
        <v>0</v>
      </c>
      <c r="M212" t="s">
        <v>1187</v>
      </c>
      <c r="N212" t="s">
        <v>1291</v>
      </c>
      <c r="O212" t="s">
        <v>1190</v>
      </c>
      <c r="P212" t="s">
        <v>1201</v>
      </c>
      <c r="Q212" t="s">
        <v>1187</v>
      </c>
    </row>
    <row r="213" spans="1:17" x14ac:dyDescent="0.25">
      <c r="A213" t="s">
        <v>39</v>
      </c>
      <c r="B213" t="s">
        <v>1659</v>
      </c>
      <c r="C213" t="s">
        <v>343</v>
      </c>
      <c r="D213" t="s">
        <v>1144</v>
      </c>
      <c r="E213">
        <v>339</v>
      </c>
      <c r="F213" t="s">
        <v>1197</v>
      </c>
      <c r="G213" t="s">
        <v>1660</v>
      </c>
      <c r="H213" t="s">
        <v>1394</v>
      </c>
      <c r="I213" t="s">
        <v>1402</v>
      </c>
      <c r="J213" t="s">
        <v>1187</v>
      </c>
      <c r="K213" t="b">
        <v>1</v>
      </c>
      <c r="L213" t="b">
        <v>0</v>
      </c>
      <c r="M213" t="s">
        <v>1187</v>
      </c>
      <c r="N213" t="s">
        <v>1291</v>
      </c>
      <c r="O213" t="s">
        <v>1190</v>
      </c>
      <c r="P213" t="s">
        <v>1201</v>
      </c>
      <c r="Q213" t="s">
        <v>1187</v>
      </c>
    </row>
    <row r="214" spans="1:17" x14ac:dyDescent="0.25">
      <c r="A214" t="s">
        <v>39</v>
      </c>
      <c r="B214" t="s">
        <v>1661</v>
      </c>
      <c r="C214" t="s">
        <v>343</v>
      </c>
      <c r="D214" t="s">
        <v>1145</v>
      </c>
      <c r="E214">
        <v>252</v>
      </c>
      <c r="F214" t="s">
        <v>1197</v>
      </c>
      <c r="G214" t="s">
        <v>1662</v>
      </c>
      <c r="H214" t="s">
        <v>1394</v>
      </c>
      <c r="I214" t="s">
        <v>1214</v>
      </c>
      <c r="J214" t="s">
        <v>1187</v>
      </c>
      <c r="K214" t="b">
        <v>1</v>
      </c>
      <c r="L214" t="b">
        <v>0</v>
      </c>
      <c r="M214" t="s">
        <v>1187</v>
      </c>
      <c r="N214" t="s">
        <v>1291</v>
      </c>
      <c r="O214" t="s">
        <v>1190</v>
      </c>
      <c r="P214" t="s">
        <v>1201</v>
      </c>
      <c r="Q214" t="s">
        <v>1187</v>
      </c>
    </row>
    <row r="215" spans="1:17" x14ac:dyDescent="0.25">
      <c r="A215" t="s">
        <v>39</v>
      </c>
      <c r="B215" t="s">
        <v>1663</v>
      </c>
      <c r="C215" t="s">
        <v>343</v>
      </c>
      <c r="D215" t="s">
        <v>1146</v>
      </c>
      <c r="E215">
        <v>298</v>
      </c>
      <c r="F215" t="s">
        <v>1197</v>
      </c>
      <c r="G215" t="s">
        <v>1664</v>
      </c>
      <c r="H215" t="s">
        <v>1394</v>
      </c>
      <c r="I215" t="s">
        <v>1217</v>
      </c>
      <c r="J215" t="s">
        <v>1187</v>
      </c>
      <c r="K215" t="b">
        <v>1</v>
      </c>
      <c r="L215" t="b">
        <v>0</v>
      </c>
      <c r="M215" t="s">
        <v>1187</v>
      </c>
      <c r="N215" t="s">
        <v>1291</v>
      </c>
      <c r="O215" t="s">
        <v>1190</v>
      </c>
      <c r="P215" t="s">
        <v>1201</v>
      </c>
      <c r="Q215" t="s">
        <v>1187</v>
      </c>
    </row>
    <row r="216" spans="1:17" x14ac:dyDescent="0.25">
      <c r="A216" t="s">
        <v>39</v>
      </c>
      <c r="B216" t="s">
        <v>1665</v>
      </c>
      <c r="C216" t="s">
        <v>343</v>
      </c>
      <c r="D216" t="s">
        <v>1147</v>
      </c>
      <c r="E216">
        <v>334</v>
      </c>
      <c r="F216" t="s">
        <v>1197</v>
      </c>
      <c r="G216" t="s">
        <v>1666</v>
      </c>
      <c r="H216" t="s">
        <v>1394</v>
      </c>
      <c r="I216" t="s">
        <v>1220</v>
      </c>
      <c r="J216" t="s">
        <v>1187</v>
      </c>
      <c r="K216" t="b">
        <v>1</v>
      </c>
      <c r="L216" t="b">
        <v>0</v>
      </c>
      <c r="M216" t="s">
        <v>1187</v>
      </c>
      <c r="N216" t="s">
        <v>1291</v>
      </c>
      <c r="O216" t="s">
        <v>1190</v>
      </c>
      <c r="P216" t="s">
        <v>1201</v>
      </c>
      <c r="Q216" t="s">
        <v>1187</v>
      </c>
    </row>
    <row r="217" spans="1:17" x14ac:dyDescent="0.25">
      <c r="A217" t="s">
        <v>39</v>
      </c>
      <c r="B217" t="s">
        <v>1667</v>
      </c>
      <c r="C217" t="s">
        <v>343</v>
      </c>
      <c r="D217" t="s">
        <v>1232</v>
      </c>
      <c r="E217">
        <v>313</v>
      </c>
      <c r="F217" t="s">
        <v>1197</v>
      </c>
      <c r="G217" t="s">
        <v>1668</v>
      </c>
      <c r="H217" t="s">
        <v>1394</v>
      </c>
      <c r="I217" t="s">
        <v>1402</v>
      </c>
      <c r="J217" t="s">
        <v>1187</v>
      </c>
      <c r="K217" t="b">
        <v>1</v>
      </c>
      <c r="L217" t="b">
        <v>0</v>
      </c>
      <c r="M217" t="s">
        <v>1187</v>
      </c>
      <c r="N217" t="s">
        <v>1291</v>
      </c>
      <c r="O217" t="s">
        <v>1190</v>
      </c>
      <c r="P217" t="s">
        <v>1201</v>
      </c>
      <c r="Q217" t="s">
        <v>1187</v>
      </c>
    </row>
    <row r="218" spans="1:17" x14ac:dyDescent="0.25">
      <c r="A218" t="s">
        <v>39</v>
      </c>
      <c r="B218" t="s">
        <v>1669</v>
      </c>
      <c r="C218" t="s">
        <v>344</v>
      </c>
      <c r="D218" t="s">
        <v>1137</v>
      </c>
      <c r="E218">
        <v>467.1</v>
      </c>
      <c r="F218" t="s">
        <v>1197</v>
      </c>
      <c r="G218" t="s">
        <v>1670</v>
      </c>
      <c r="H218" t="s">
        <v>1394</v>
      </c>
      <c r="I218" t="s">
        <v>1420</v>
      </c>
      <c r="J218" t="s">
        <v>1187</v>
      </c>
      <c r="K218" t="b">
        <v>1</v>
      </c>
      <c r="L218" t="b">
        <v>0</v>
      </c>
      <c r="M218" t="s">
        <v>1187</v>
      </c>
      <c r="N218" t="s">
        <v>1291</v>
      </c>
      <c r="O218" t="s">
        <v>1190</v>
      </c>
      <c r="P218" t="s">
        <v>1201</v>
      </c>
      <c r="Q218" t="s">
        <v>1671</v>
      </c>
    </row>
    <row r="219" spans="1:17" x14ac:dyDescent="0.25">
      <c r="A219" t="s">
        <v>39</v>
      </c>
      <c r="B219" t="s">
        <v>1672</v>
      </c>
      <c r="C219" t="s">
        <v>344</v>
      </c>
      <c r="D219" t="s">
        <v>1138</v>
      </c>
      <c r="E219">
        <v>467.4</v>
      </c>
      <c r="F219" t="s">
        <v>1197</v>
      </c>
      <c r="G219" t="s">
        <v>1673</v>
      </c>
      <c r="H219" t="s">
        <v>1394</v>
      </c>
      <c r="I219" t="s">
        <v>1424</v>
      </c>
      <c r="J219" t="s">
        <v>1187</v>
      </c>
      <c r="K219" t="b">
        <v>1</v>
      </c>
      <c r="L219" t="b">
        <v>0</v>
      </c>
      <c r="M219" t="s">
        <v>1187</v>
      </c>
      <c r="N219" t="s">
        <v>1291</v>
      </c>
      <c r="O219" t="s">
        <v>1190</v>
      </c>
      <c r="P219" t="s">
        <v>1201</v>
      </c>
      <c r="Q219" t="s">
        <v>1671</v>
      </c>
    </row>
    <row r="220" spans="1:17" x14ac:dyDescent="0.25">
      <c r="A220" t="s">
        <v>39</v>
      </c>
      <c r="B220" t="s">
        <v>1674</v>
      </c>
      <c r="C220" t="s">
        <v>344</v>
      </c>
      <c r="D220" t="s">
        <v>1139</v>
      </c>
      <c r="E220">
        <v>484.8</v>
      </c>
      <c r="F220" t="s">
        <v>1197</v>
      </c>
      <c r="G220" t="s">
        <v>1675</v>
      </c>
      <c r="H220" t="s">
        <v>1394</v>
      </c>
      <c r="I220" t="s">
        <v>1427</v>
      </c>
      <c r="J220" t="s">
        <v>1187</v>
      </c>
      <c r="K220" t="b">
        <v>1</v>
      </c>
      <c r="L220" t="b">
        <v>0</v>
      </c>
      <c r="M220" t="s">
        <v>1187</v>
      </c>
      <c r="N220" t="s">
        <v>1291</v>
      </c>
      <c r="O220" t="s">
        <v>1190</v>
      </c>
      <c r="P220" t="s">
        <v>1201</v>
      </c>
      <c r="Q220" t="s">
        <v>1671</v>
      </c>
    </row>
    <row r="221" spans="1:17" x14ac:dyDescent="0.25">
      <c r="A221" t="s">
        <v>39</v>
      </c>
      <c r="B221" t="s">
        <v>1676</v>
      </c>
      <c r="C221" t="s">
        <v>344</v>
      </c>
      <c r="D221" t="s">
        <v>1140</v>
      </c>
      <c r="E221">
        <v>716.7</v>
      </c>
      <c r="F221" t="s">
        <v>1290</v>
      </c>
      <c r="G221" t="s">
        <v>1677</v>
      </c>
      <c r="H221" t="s">
        <v>1394</v>
      </c>
      <c r="I221" t="s">
        <v>1678</v>
      </c>
      <c r="J221" t="s">
        <v>1187</v>
      </c>
      <c r="K221" t="b">
        <v>1</v>
      </c>
      <c r="L221" t="b">
        <v>0</v>
      </c>
      <c r="M221" t="s">
        <v>1187</v>
      </c>
      <c r="N221" t="s">
        <v>1291</v>
      </c>
      <c r="O221" t="s">
        <v>1190</v>
      </c>
      <c r="P221" t="s">
        <v>1201</v>
      </c>
      <c r="Q221" t="s">
        <v>1679</v>
      </c>
    </row>
    <row r="222" spans="1:17" x14ac:dyDescent="0.25">
      <c r="A222" t="s">
        <v>39</v>
      </c>
      <c r="B222" t="s">
        <v>1680</v>
      </c>
      <c r="C222" t="s">
        <v>344</v>
      </c>
      <c r="D222" t="s">
        <v>1141</v>
      </c>
      <c r="E222">
        <v>472.2</v>
      </c>
      <c r="F222" t="s">
        <v>1197</v>
      </c>
      <c r="G222" t="s">
        <v>1681</v>
      </c>
      <c r="H222" t="s">
        <v>1394</v>
      </c>
      <c r="I222" t="s">
        <v>1199</v>
      </c>
      <c r="J222" t="s">
        <v>1187</v>
      </c>
      <c r="K222" t="b">
        <v>1</v>
      </c>
      <c r="L222" t="b">
        <v>0</v>
      </c>
      <c r="M222" t="s">
        <v>1187</v>
      </c>
      <c r="N222" t="s">
        <v>1291</v>
      </c>
      <c r="O222" t="s">
        <v>1190</v>
      </c>
      <c r="P222" t="s">
        <v>1201</v>
      </c>
      <c r="Q222" t="s">
        <v>1671</v>
      </c>
    </row>
    <row r="223" spans="1:17" x14ac:dyDescent="0.25">
      <c r="A223" t="s">
        <v>39</v>
      </c>
      <c r="B223" t="s">
        <v>1682</v>
      </c>
      <c r="C223" t="s">
        <v>344</v>
      </c>
      <c r="D223" t="s">
        <v>1142</v>
      </c>
      <c r="E223">
        <v>472.5</v>
      </c>
      <c r="F223" t="s">
        <v>1197</v>
      </c>
      <c r="G223" t="s">
        <v>1683</v>
      </c>
      <c r="H223" t="s">
        <v>1394</v>
      </c>
      <c r="I223" t="s">
        <v>1205</v>
      </c>
      <c r="J223" t="s">
        <v>1187</v>
      </c>
      <c r="K223" t="b">
        <v>1</v>
      </c>
      <c r="L223" t="b">
        <v>0</v>
      </c>
      <c r="M223" t="s">
        <v>1187</v>
      </c>
      <c r="N223" t="s">
        <v>1291</v>
      </c>
      <c r="O223" t="s">
        <v>1190</v>
      </c>
      <c r="P223" t="s">
        <v>1201</v>
      </c>
      <c r="Q223" t="s">
        <v>1671</v>
      </c>
    </row>
    <row r="224" spans="1:17" x14ac:dyDescent="0.25">
      <c r="A224" t="s">
        <v>39</v>
      </c>
      <c r="B224" t="s">
        <v>1684</v>
      </c>
      <c r="C224" t="s">
        <v>344</v>
      </c>
      <c r="D224" t="s">
        <v>1143</v>
      </c>
      <c r="E224">
        <v>485.5</v>
      </c>
      <c r="F224" t="s">
        <v>1197</v>
      </c>
      <c r="G224" t="s">
        <v>1685</v>
      </c>
      <c r="H224" t="s">
        <v>1394</v>
      </c>
      <c r="I224" t="s">
        <v>1208</v>
      </c>
      <c r="J224" t="s">
        <v>1187</v>
      </c>
      <c r="K224" t="b">
        <v>1</v>
      </c>
      <c r="L224" t="b">
        <v>0</v>
      </c>
      <c r="M224" t="s">
        <v>1187</v>
      </c>
      <c r="N224" t="s">
        <v>1291</v>
      </c>
      <c r="O224" t="s">
        <v>1190</v>
      </c>
      <c r="P224" t="s">
        <v>1201</v>
      </c>
      <c r="Q224" t="s">
        <v>1671</v>
      </c>
    </row>
    <row r="225" spans="1:17" x14ac:dyDescent="0.25">
      <c r="A225" t="s">
        <v>39</v>
      </c>
      <c r="B225" t="s">
        <v>1686</v>
      </c>
      <c r="C225" t="s">
        <v>344</v>
      </c>
      <c r="D225" t="s">
        <v>1144</v>
      </c>
      <c r="E225">
        <v>729</v>
      </c>
      <c r="F225" t="s">
        <v>1290</v>
      </c>
      <c r="G225" t="s">
        <v>1687</v>
      </c>
      <c r="H225" t="s">
        <v>1394</v>
      </c>
      <c r="I225" t="s">
        <v>1483</v>
      </c>
      <c r="J225" t="s">
        <v>1187</v>
      </c>
      <c r="K225" t="b">
        <v>1</v>
      </c>
      <c r="L225" t="b">
        <v>0</v>
      </c>
      <c r="M225" t="s">
        <v>1187</v>
      </c>
      <c r="N225" t="s">
        <v>1291</v>
      </c>
      <c r="O225" t="s">
        <v>1190</v>
      </c>
      <c r="P225" t="s">
        <v>1201</v>
      </c>
      <c r="Q225" t="s">
        <v>1679</v>
      </c>
    </row>
    <row r="226" spans="1:17" x14ac:dyDescent="0.25">
      <c r="A226" t="s">
        <v>39</v>
      </c>
      <c r="B226" t="s">
        <v>1688</v>
      </c>
      <c r="C226" t="s">
        <v>344</v>
      </c>
      <c r="D226" t="s">
        <v>1145</v>
      </c>
      <c r="E226">
        <v>504</v>
      </c>
      <c r="F226" t="s">
        <v>1197</v>
      </c>
      <c r="G226" t="s">
        <v>1689</v>
      </c>
      <c r="H226" t="s">
        <v>1394</v>
      </c>
      <c r="I226" t="s">
        <v>1214</v>
      </c>
      <c r="J226" t="s">
        <v>1187</v>
      </c>
      <c r="K226" t="b">
        <v>1</v>
      </c>
      <c r="L226" t="b">
        <v>0</v>
      </c>
      <c r="M226" t="s">
        <v>1187</v>
      </c>
      <c r="N226" t="s">
        <v>1291</v>
      </c>
      <c r="O226" t="s">
        <v>1190</v>
      </c>
      <c r="P226" t="s">
        <v>1201</v>
      </c>
      <c r="Q226" t="s">
        <v>1671</v>
      </c>
    </row>
    <row r="227" spans="1:17" x14ac:dyDescent="0.25">
      <c r="A227" t="s">
        <v>39</v>
      </c>
      <c r="B227" t="s">
        <v>1690</v>
      </c>
      <c r="C227" t="s">
        <v>344</v>
      </c>
      <c r="D227" t="s">
        <v>1146</v>
      </c>
      <c r="E227">
        <v>490</v>
      </c>
      <c r="F227" t="s">
        <v>1197</v>
      </c>
      <c r="G227" t="s">
        <v>1691</v>
      </c>
      <c r="H227" t="s">
        <v>1394</v>
      </c>
      <c r="I227" t="s">
        <v>1217</v>
      </c>
      <c r="J227" t="s">
        <v>1187</v>
      </c>
      <c r="K227" t="b">
        <v>1</v>
      </c>
      <c r="L227" t="b">
        <v>0</v>
      </c>
      <c r="M227" t="s">
        <v>1187</v>
      </c>
      <c r="N227" t="s">
        <v>1291</v>
      </c>
      <c r="O227" t="s">
        <v>1190</v>
      </c>
      <c r="P227" t="s">
        <v>1201</v>
      </c>
      <c r="Q227" t="s">
        <v>1671</v>
      </c>
    </row>
    <row r="228" spans="1:17" x14ac:dyDescent="0.25">
      <c r="A228" t="s">
        <v>39</v>
      </c>
      <c r="B228" t="s">
        <v>1692</v>
      </c>
      <c r="C228" t="s">
        <v>344</v>
      </c>
      <c r="D228" t="s">
        <v>1147</v>
      </c>
      <c r="E228">
        <v>504</v>
      </c>
      <c r="F228" t="s">
        <v>1197</v>
      </c>
      <c r="G228" t="s">
        <v>1689</v>
      </c>
      <c r="H228" t="s">
        <v>1394</v>
      </c>
      <c r="I228" t="s">
        <v>1220</v>
      </c>
      <c r="J228" t="s">
        <v>1187</v>
      </c>
      <c r="K228" t="b">
        <v>1</v>
      </c>
      <c r="L228" t="b">
        <v>0</v>
      </c>
      <c r="M228" t="s">
        <v>1187</v>
      </c>
      <c r="N228" t="s">
        <v>1291</v>
      </c>
      <c r="O228" t="s">
        <v>1190</v>
      </c>
      <c r="P228" t="s">
        <v>1201</v>
      </c>
      <c r="Q228" t="s">
        <v>1671</v>
      </c>
    </row>
    <row r="229" spans="1:17" x14ac:dyDescent="0.25">
      <c r="A229" t="s">
        <v>39</v>
      </c>
      <c r="B229" t="s">
        <v>1693</v>
      </c>
      <c r="C229" t="s">
        <v>344</v>
      </c>
      <c r="D229" t="s">
        <v>1232</v>
      </c>
      <c r="E229">
        <v>721</v>
      </c>
      <c r="F229" t="s">
        <v>1290</v>
      </c>
      <c r="G229" t="s">
        <v>1694</v>
      </c>
      <c r="H229" t="s">
        <v>1394</v>
      </c>
      <c r="I229" t="s">
        <v>1402</v>
      </c>
      <c r="J229" t="s">
        <v>1187</v>
      </c>
      <c r="K229" t="b">
        <v>1</v>
      </c>
      <c r="L229" t="b">
        <v>0</v>
      </c>
      <c r="M229" t="s">
        <v>1187</v>
      </c>
      <c r="N229" t="s">
        <v>1291</v>
      </c>
      <c r="O229" t="s">
        <v>1190</v>
      </c>
      <c r="P229" t="s">
        <v>1201</v>
      </c>
      <c r="Q229" t="s">
        <v>1695</v>
      </c>
    </row>
    <row r="230" spans="1:17" x14ac:dyDescent="0.25">
      <c r="A230" t="s">
        <v>39</v>
      </c>
      <c r="B230" t="s">
        <v>1696</v>
      </c>
      <c r="C230" t="s">
        <v>347</v>
      </c>
      <c r="D230" t="s">
        <v>1137</v>
      </c>
      <c r="E230">
        <v>11924.9</v>
      </c>
      <c r="F230" t="s">
        <v>1290</v>
      </c>
      <c r="G230" t="s">
        <v>1697</v>
      </c>
      <c r="H230" t="s">
        <v>1394</v>
      </c>
      <c r="I230" t="s">
        <v>1420</v>
      </c>
      <c r="J230" t="s">
        <v>1187</v>
      </c>
      <c r="K230" t="b">
        <v>1</v>
      </c>
      <c r="L230" t="b">
        <v>0</v>
      </c>
      <c r="M230" t="s">
        <v>1187</v>
      </c>
      <c r="N230" t="s">
        <v>1291</v>
      </c>
      <c r="O230" t="s">
        <v>1190</v>
      </c>
      <c r="P230" t="s">
        <v>1201</v>
      </c>
      <c r="Q230" t="s">
        <v>1698</v>
      </c>
    </row>
    <row r="231" spans="1:17" x14ac:dyDescent="0.25">
      <c r="A231" t="s">
        <v>39</v>
      </c>
      <c r="B231" t="s">
        <v>1699</v>
      </c>
      <c r="C231" t="s">
        <v>347</v>
      </c>
      <c r="D231" t="s">
        <v>1138</v>
      </c>
      <c r="E231">
        <v>12113.2</v>
      </c>
      <c r="F231" t="s">
        <v>1290</v>
      </c>
      <c r="G231" t="s">
        <v>1700</v>
      </c>
      <c r="H231" t="s">
        <v>1394</v>
      </c>
      <c r="I231" t="s">
        <v>1424</v>
      </c>
      <c r="J231" t="s">
        <v>1187</v>
      </c>
      <c r="K231" t="b">
        <v>1</v>
      </c>
      <c r="L231" t="b">
        <v>0</v>
      </c>
      <c r="M231" t="s">
        <v>1187</v>
      </c>
      <c r="N231" t="s">
        <v>1291</v>
      </c>
      <c r="O231" t="s">
        <v>1190</v>
      </c>
      <c r="P231" t="s">
        <v>1201</v>
      </c>
      <c r="Q231" t="s">
        <v>1698</v>
      </c>
    </row>
    <row r="232" spans="1:17" x14ac:dyDescent="0.25">
      <c r="A232" t="s">
        <v>39</v>
      </c>
      <c r="B232" t="s">
        <v>1701</v>
      </c>
      <c r="C232" t="s">
        <v>347</v>
      </c>
      <c r="D232" t="s">
        <v>1139</v>
      </c>
      <c r="E232">
        <v>11925.1</v>
      </c>
      <c r="F232" t="s">
        <v>1290</v>
      </c>
      <c r="G232" t="s">
        <v>1702</v>
      </c>
      <c r="H232" t="s">
        <v>1394</v>
      </c>
      <c r="I232" t="s">
        <v>1427</v>
      </c>
      <c r="J232" t="s">
        <v>1187</v>
      </c>
      <c r="K232" t="b">
        <v>1</v>
      </c>
      <c r="L232" t="b">
        <v>0</v>
      </c>
      <c r="M232" t="s">
        <v>1187</v>
      </c>
      <c r="N232" t="s">
        <v>1291</v>
      </c>
      <c r="O232" t="s">
        <v>1190</v>
      </c>
      <c r="P232" t="s">
        <v>1201</v>
      </c>
      <c r="Q232" t="s">
        <v>1698</v>
      </c>
    </row>
    <row r="233" spans="1:17" x14ac:dyDescent="0.25">
      <c r="A233" t="s">
        <v>39</v>
      </c>
      <c r="B233" t="s">
        <v>1703</v>
      </c>
      <c r="C233" t="s">
        <v>347</v>
      </c>
      <c r="D233" t="s">
        <v>1140</v>
      </c>
      <c r="E233">
        <v>12819</v>
      </c>
      <c r="F233" t="s">
        <v>1290</v>
      </c>
      <c r="G233" t="s">
        <v>1704</v>
      </c>
      <c r="H233" t="s">
        <v>1394</v>
      </c>
      <c r="I233" t="s">
        <v>1430</v>
      </c>
      <c r="J233" t="s">
        <v>1187</v>
      </c>
      <c r="K233" t="b">
        <v>1</v>
      </c>
      <c r="L233" t="b">
        <v>0</v>
      </c>
      <c r="M233" t="s">
        <v>1187</v>
      </c>
      <c r="N233" t="s">
        <v>1291</v>
      </c>
      <c r="O233" t="s">
        <v>1190</v>
      </c>
      <c r="P233" t="s">
        <v>1201</v>
      </c>
      <c r="Q233" t="s">
        <v>1698</v>
      </c>
    </row>
    <row r="234" spans="1:17" x14ac:dyDescent="0.25">
      <c r="A234" t="s">
        <v>39</v>
      </c>
      <c r="B234" t="s">
        <v>1705</v>
      </c>
      <c r="C234" t="s">
        <v>347</v>
      </c>
      <c r="D234" t="s">
        <v>1141</v>
      </c>
      <c r="E234">
        <v>12832</v>
      </c>
      <c r="F234" t="s">
        <v>1290</v>
      </c>
      <c r="G234" t="s">
        <v>1706</v>
      </c>
      <c r="H234" t="s">
        <v>1394</v>
      </c>
      <c r="I234" t="s">
        <v>1199</v>
      </c>
      <c r="J234" t="s">
        <v>1187</v>
      </c>
      <c r="K234" t="b">
        <v>1</v>
      </c>
      <c r="L234" t="b">
        <v>0</v>
      </c>
      <c r="M234" t="s">
        <v>1187</v>
      </c>
      <c r="N234" t="s">
        <v>1291</v>
      </c>
      <c r="O234" t="s">
        <v>1190</v>
      </c>
      <c r="P234" t="s">
        <v>1201</v>
      </c>
      <c r="Q234" t="s">
        <v>1698</v>
      </c>
    </row>
    <row r="235" spans="1:17" x14ac:dyDescent="0.25">
      <c r="A235" t="s">
        <v>39</v>
      </c>
      <c r="B235" t="s">
        <v>1707</v>
      </c>
      <c r="C235" t="s">
        <v>347</v>
      </c>
      <c r="D235" t="s">
        <v>1142</v>
      </c>
      <c r="E235">
        <v>12959.7</v>
      </c>
      <c r="F235" t="s">
        <v>1290</v>
      </c>
      <c r="G235" t="s">
        <v>1708</v>
      </c>
      <c r="H235" t="s">
        <v>1394</v>
      </c>
      <c r="I235" t="s">
        <v>1205</v>
      </c>
      <c r="J235" t="s">
        <v>1187</v>
      </c>
      <c r="K235" t="b">
        <v>1</v>
      </c>
      <c r="L235" t="b">
        <v>0</v>
      </c>
      <c r="M235" t="s">
        <v>1187</v>
      </c>
      <c r="N235" t="s">
        <v>1291</v>
      </c>
      <c r="O235" t="s">
        <v>1190</v>
      </c>
      <c r="P235" t="s">
        <v>1201</v>
      </c>
      <c r="Q235" t="s">
        <v>1698</v>
      </c>
    </row>
    <row r="236" spans="1:17" x14ac:dyDescent="0.25">
      <c r="A236" t="s">
        <v>39</v>
      </c>
      <c r="B236" t="s">
        <v>1709</v>
      </c>
      <c r="C236" t="s">
        <v>347</v>
      </c>
      <c r="D236" t="s">
        <v>1143</v>
      </c>
      <c r="E236">
        <v>12560.4</v>
      </c>
      <c r="F236" t="s">
        <v>1290</v>
      </c>
      <c r="G236" t="s">
        <v>1710</v>
      </c>
      <c r="H236" t="s">
        <v>1394</v>
      </c>
      <c r="I236" t="s">
        <v>1208</v>
      </c>
      <c r="J236" t="s">
        <v>1187</v>
      </c>
      <c r="K236" t="b">
        <v>1</v>
      </c>
      <c r="L236" t="b">
        <v>0</v>
      </c>
      <c r="M236" t="s">
        <v>1187</v>
      </c>
      <c r="N236" t="s">
        <v>1291</v>
      </c>
      <c r="O236" t="s">
        <v>1190</v>
      </c>
      <c r="P236" t="s">
        <v>1201</v>
      </c>
      <c r="Q236" t="s">
        <v>1698</v>
      </c>
    </row>
    <row r="237" spans="1:17" x14ac:dyDescent="0.25">
      <c r="A237" t="s">
        <v>39</v>
      </c>
      <c r="B237" t="s">
        <v>1711</v>
      </c>
      <c r="C237" t="s">
        <v>347</v>
      </c>
      <c r="D237" t="s">
        <v>1144</v>
      </c>
      <c r="E237">
        <v>12713</v>
      </c>
      <c r="F237" t="s">
        <v>1290</v>
      </c>
      <c r="G237" t="s">
        <v>1712</v>
      </c>
      <c r="H237" t="s">
        <v>1394</v>
      </c>
      <c r="I237" t="s">
        <v>1402</v>
      </c>
      <c r="J237" t="s">
        <v>1187</v>
      </c>
      <c r="K237" t="b">
        <v>1</v>
      </c>
      <c r="L237" t="b">
        <v>0</v>
      </c>
      <c r="M237" t="s">
        <v>1187</v>
      </c>
      <c r="N237" t="s">
        <v>1291</v>
      </c>
      <c r="O237" t="s">
        <v>1190</v>
      </c>
      <c r="P237" t="s">
        <v>1201</v>
      </c>
      <c r="Q237" t="s">
        <v>1698</v>
      </c>
    </row>
    <row r="238" spans="1:17" x14ac:dyDescent="0.25">
      <c r="A238" t="s">
        <v>39</v>
      </c>
      <c r="B238" t="s">
        <v>1713</v>
      </c>
      <c r="C238" t="s">
        <v>347</v>
      </c>
      <c r="D238" t="s">
        <v>1145</v>
      </c>
      <c r="E238">
        <v>13283</v>
      </c>
      <c r="F238" t="s">
        <v>1290</v>
      </c>
      <c r="G238" t="s">
        <v>1714</v>
      </c>
      <c r="H238" t="s">
        <v>1394</v>
      </c>
      <c r="I238" t="s">
        <v>1214</v>
      </c>
      <c r="J238" t="s">
        <v>1187</v>
      </c>
      <c r="K238" t="b">
        <v>1</v>
      </c>
      <c r="L238" t="b">
        <v>0</v>
      </c>
      <c r="M238" t="s">
        <v>1187</v>
      </c>
      <c r="N238" t="s">
        <v>1291</v>
      </c>
      <c r="O238" t="s">
        <v>1190</v>
      </c>
      <c r="P238" t="s">
        <v>1201</v>
      </c>
      <c r="Q238" t="s">
        <v>1698</v>
      </c>
    </row>
    <row r="239" spans="1:17" x14ac:dyDescent="0.25">
      <c r="A239" t="s">
        <v>39</v>
      </c>
      <c r="B239" t="s">
        <v>1715</v>
      </c>
      <c r="C239" t="s">
        <v>347</v>
      </c>
      <c r="D239" t="s">
        <v>1146</v>
      </c>
      <c r="E239">
        <v>12967</v>
      </c>
      <c r="F239" t="s">
        <v>1290</v>
      </c>
      <c r="G239" t="s">
        <v>1716</v>
      </c>
      <c r="H239" t="s">
        <v>1394</v>
      </c>
      <c r="I239" t="s">
        <v>1217</v>
      </c>
      <c r="J239" t="s">
        <v>1187</v>
      </c>
      <c r="K239" t="b">
        <v>1</v>
      </c>
      <c r="L239" t="b">
        <v>0</v>
      </c>
      <c r="M239" t="s">
        <v>1187</v>
      </c>
      <c r="N239" t="s">
        <v>1291</v>
      </c>
      <c r="O239" t="s">
        <v>1190</v>
      </c>
      <c r="P239" t="s">
        <v>1201</v>
      </c>
      <c r="Q239" t="s">
        <v>1698</v>
      </c>
    </row>
    <row r="240" spans="1:17" x14ac:dyDescent="0.25">
      <c r="A240" t="s">
        <v>39</v>
      </c>
      <c r="B240" t="s">
        <v>1717</v>
      </c>
      <c r="C240" t="s">
        <v>347</v>
      </c>
      <c r="D240" t="s">
        <v>1147</v>
      </c>
      <c r="E240">
        <v>13274</v>
      </c>
      <c r="F240" t="s">
        <v>1290</v>
      </c>
      <c r="G240" t="s">
        <v>1718</v>
      </c>
      <c r="H240" t="s">
        <v>1394</v>
      </c>
      <c r="I240" t="s">
        <v>1220</v>
      </c>
      <c r="J240" t="s">
        <v>1187</v>
      </c>
      <c r="K240" t="b">
        <v>1</v>
      </c>
      <c r="L240" t="b">
        <v>0</v>
      </c>
      <c r="M240" t="s">
        <v>1187</v>
      </c>
      <c r="N240" t="s">
        <v>1291</v>
      </c>
      <c r="O240" t="s">
        <v>1190</v>
      </c>
      <c r="P240" t="s">
        <v>1201</v>
      </c>
      <c r="Q240" t="s">
        <v>1698</v>
      </c>
    </row>
    <row r="241" spans="1:17" x14ac:dyDescent="0.25">
      <c r="A241" t="s">
        <v>39</v>
      </c>
      <c r="B241" t="s">
        <v>1719</v>
      </c>
      <c r="C241" t="s">
        <v>347</v>
      </c>
      <c r="D241" t="s">
        <v>1232</v>
      </c>
      <c r="E241">
        <v>13581</v>
      </c>
      <c r="F241" t="s">
        <v>1290</v>
      </c>
      <c r="G241" t="s">
        <v>1720</v>
      </c>
      <c r="H241" t="s">
        <v>1394</v>
      </c>
      <c r="I241" t="s">
        <v>1402</v>
      </c>
      <c r="J241" t="s">
        <v>1187</v>
      </c>
      <c r="K241" t="b">
        <v>1</v>
      </c>
      <c r="L241" t="b">
        <v>0</v>
      </c>
      <c r="M241" t="s">
        <v>1187</v>
      </c>
      <c r="N241" t="s">
        <v>1291</v>
      </c>
      <c r="O241" t="s">
        <v>1190</v>
      </c>
      <c r="P241" t="s">
        <v>1201</v>
      </c>
      <c r="Q241" t="s">
        <v>1721</v>
      </c>
    </row>
    <row r="242" spans="1:17" x14ac:dyDescent="0.25">
      <c r="A242" t="s">
        <v>39</v>
      </c>
      <c r="B242" t="s">
        <v>1722</v>
      </c>
      <c r="C242" t="s">
        <v>349</v>
      </c>
      <c r="D242" t="s">
        <v>1137</v>
      </c>
      <c r="E242">
        <v>-7715</v>
      </c>
      <c r="F242" t="s">
        <v>1290</v>
      </c>
      <c r="G242" t="s">
        <v>1723</v>
      </c>
      <c r="H242" t="s">
        <v>1394</v>
      </c>
      <c r="I242" t="s">
        <v>1585</v>
      </c>
      <c r="J242" t="s">
        <v>1187</v>
      </c>
      <c r="K242" t="b">
        <v>1</v>
      </c>
      <c r="L242" t="b">
        <v>0</v>
      </c>
      <c r="M242" t="s">
        <v>1187</v>
      </c>
      <c r="N242" t="s">
        <v>1291</v>
      </c>
      <c r="O242" t="s">
        <v>1190</v>
      </c>
      <c r="P242" t="s">
        <v>1201</v>
      </c>
      <c r="Q242" t="s">
        <v>1724</v>
      </c>
    </row>
    <row r="243" spans="1:17" x14ac:dyDescent="0.25">
      <c r="A243" t="s">
        <v>39</v>
      </c>
      <c r="B243" t="s">
        <v>1725</v>
      </c>
      <c r="C243" t="s">
        <v>349</v>
      </c>
      <c r="D243" t="s">
        <v>1138</v>
      </c>
      <c r="E243">
        <v>-7595.7</v>
      </c>
      <c r="F243" t="s">
        <v>1290</v>
      </c>
      <c r="G243" t="s">
        <v>1726</v>
      </c>
      <c r="H243" t="s">
        <v>1394</v>
      </c>
      <c r="I243" t="s">
        <v>1589</v>
      </c>
      <c r="J243" t="s">
        <v>1187</v>
      </c>
      <c r="K243" t="b">
        <v>1</v>
      </c>
      <c r="L243" t="b">
        <v>0</v>
      </c>
      <c r="M243" t="s">
        <v>1187</v>
      </c>
      <c r="N243" t="s">
        <v>1291</v>
      </c>
      <c r="O243" t="s">
        <v>1190</v>
      </c>
      <c r="P243" t="s">
        <v>1201</v>
      </c>
      <c r="Q243" t="s">
        <v>1724</v>
      </c>
    </row>
    <row r="244" spans="1:17" x14ac:dyDescent="0.25">
      <c r="A244" t="s">
        <v>39</v>
      </c>
      <c r="B244" t="s">
        <v>1727</v>
      </c>
      <c r="C244" t="s">
        <v>349</v>
      </c>
      <c r="D244" t="s">
        <v>1139</v>
      </c>
      <c r="E244">
        <v>-8208.6</v>
      </c>
      <c r="F244" t="s">
        <v>1290</v>
      </c>
      <c r="G244" t="s">
        <v>1728</v>
      </c>
      <c r="H244" t="s">
        <v>1394</v>
      </c>
      <c r="I244" t="s">
        <v>1592</v>
      </c>
      <c r="J244" t="s">
        <v>1187</v>
      </c>
      <c r="K244" t="b">
        <v>1</v>
      </c>
      <c r="L244" t="b">
        <v>0</v>
      </c>
      <c r="M244" t="s">
        <v>1187</v>
      </c>
      <c r="N244" t="s">
        <v>1291</v>
      </c>
      <c r="O244" t="s">
        <v>1190</v>
      </c>
      <c r="P244" t="s">
        <v>1201</v>
      </c>
      <c r="Q244" t="s">
        <v>1724</v>
      </c>
    </row>
    <row r="245" spans="1:17" x14ac:dyDescent="0.25">
      <c r="A245" t="s">
        <v>39</v>
      </c>
      <c r="B245" t="s">
        <v>1729</v>
      </c>
      <c r="C245" t="s">
        <v>349</v>
      </c>
      <c r="D245" t="s">
        <v>1140</v>
      </c>
      <c r="E245">
        <v>-21818.4</v>
      </c>
      <c r="F245" t="s">
        <v>1290</v>
      </c>
      <c r="G245" t="s">
        <v>1730</v>
      </c>
      <c r="H245" t="s">
        <v>1394</v>
      </c>
      <c r="I245" t="s">
        <v>1731</v>
      </c>
      <c r="J245" t="s">
        <v>1187</v>
      </c>
      <c r="K245" t="b">
        <v>1</v>
      </c>
      <c r="L245" t="b">
        <v>0</v>
      </c>
      <c r="M245" t="s">
        <v>1187</v>
      </c>
      <c r="N245" t="s">
        <v>1291</v>
      </c>
      <c r="O245" t="s">
        <v>1190</v>
      </c>
      <c r="P245" t="s">
        <v>1201</v>
      </c>
      <c r="Q245" t="s">
        <v>1732</v>
      </c>
    </row>
    <row r="246" spans="1:17" x14ac:dyDescent="0.25">
      <c r="A246" t="s">
        <v>39</v>
      </c>
      <c r="B246" t="s">
        <v>1733</v>
      </c>
      <c r="C246" t="s">
        <v>349</v>
      </c>
      <c r="D246" t="s">
        <v>1141</v>
      </c>
      <c r="E246">
        <v>-9428.5</v>
      </c>
      <c r="F246" t="s">
        <v>1290</v>
      </c>
      <c r="G246" t="s">
        <v>1734</v>
      </c>
      <c r="H246" t="s">
        <v>1394</v>
      </c>
      <c r="I246" t="s">
        <v>1598</v>
      </c>
      <c r="J246" t="s">
        <v>1187</v>
      </c>
      <c r="K246" t="b">
        <v>1</v>
      </c>
      <c r="L246" t="b">
        <v>0</v>
      </c>
      <c r="M246" t="s">
        <v>1187</v>
      </c>
      <c r="N246" t="s">
        <v>1291</v>
      </c>
      <c r="O246" t="s">
        <v>1190</v>
      </c>
      <c r="P246" t="s">
        <v>1201</v>
      </c>
      <c r="Q246" t="s">
        <v>1724</v>
      </c>
    </row>
    <row r="247" spans="1:17" x14ac:dyDescent="0.25">
      <c r="A247" t="s">
        <v>39</v>
      </c>
      <c r="B247" t="s">
        <v>1735</v>
      </c>
      <c r="C247" t="s">
        <v>349</v>
      </c>
      <c r="D247" t="s">
        <v>1142</v>
      </c>
      <c r="E247">
        <v>-9525.3</v>
      </c>
      <c r="F247" t="s">
        <v>1290</v>
      </c>
      <c r="G247" t="s">
        <v>1736</v>
      </c>
      <c r="H247" t="s">
        <v>1394</v>
      </c>
      <c r="I247" t="s">
        <v>1601</v>
      </c>
      <c r="J247" t="s">
        <v>1187</v>
      </c>
      <c r="K247" t="b">
        <v>1</v>
      </c>
      <c r="L247" t="b">
        <v>0</v>
      </c>
      <c r="M247" t="s">
        <v>1187</v>
      </c>
      <c r="N247" t="s">
        <v>1291</v>
      </c>
      <c r="O247" t="s">
        <v>1190</v>
      </c>
      <c r="P247" t="s">
        <v>1201</v>
      </c>
      <c r="Q247" t="s">
        <v>1724</v>
      </c>
    </row>
    <row r="248" spans="1:17" x14ac:dyDescent="0.25">
      <c r="A248" t="s">
        <v>39</v>
      </c>
      <c r="B248" t="s">
        <v>1737</v>
      </c>
      <c r="C248" t="s">
        <v>349</v>
      </c>
      <c r="D248" t="s">
        <v>1143</v>
      </c>
      <c r="E248">
        <v>-8178.5</v>
      </c>
      <c r="F248" t="s">
        <v>1290</v>
      </c>
      <c r="G248" t="s">
        <v>1738</v>
      </c>
      <c r="H248" t="s">
        <v>1394</v>
      </c>
      <c r="I248" t="s">
        <v>1604</v>
      </c>
      <c r="J248" t="s">
        <v>1187</v>
      </c>
      <c r="K248" t="b">
        <v>1</v>
      </c>
      <c r="L248" t="b">
        <v>0</v>
      </c>
      <c r="M248" t="s">
        <v>1187</v>
      </c>
      <c r="N248" t="s">
        <v>1291</v>
      </c>
      <c r="O248" t="s">
        <v>1190</v>
      </c>
      <c r="P248" t="s">
        <v>1201</v>
      </c>
      <c r="Q248" t="s">
        <v>1724</v>
      </c>
    </row>
    <row r="249" spans="1:17" x14ac:dyDescent="0.25">
      <c r="A249" t="s">
        <v>39</v>
      </c>
      <c r="B249" t="s">
        <v>1739</v>
      </c>
      <c r="C249" t="s">
        <v>349</v>
      </c>
      <c r="D249" t="s">
        <v>1144</v>
      </c>
      <c r="E249">
        <v>-21399</v>
      </c>
      <c r="F249" t="s">
        <v>1290</v>
      </c>
      <c r="G249" t="s">
        <v>1740</v>
      </c>
      <c r="H249" t="s">
        <v>1394</v>
      </c>
      <c r="I249" t="s">
        <v>1595</v>
      </c>
      <c r="J249" t="s">
        <v>1187</v>
      </c>
      <c r="K249" t="b">
        <v>1</v>
      </c>
      <c r="L249" t="b">
        <v>0</v>
      </c>
      <c r="M249" t="s">
        <v>1187</v>
      </c>
      <c r="N249" t="s">
        <v>1291</v>
      </c>
      <c r="O249" t="s">
        <v>1190</v>
      </c>
      <c r="P249" t="s">
        <v>1201</v>
      </c>
      <c r="Q249" t="s">
        <v>1732</v>
      </c>
    </row>
    <row r="250" spans="1:17" x14ac:dyDescent="0.25">
      <c r="A250" t="s">
        <v>39</v>
      </c>
      <c r="B250" t="s">
        <v>1741</v>
      </c>
      <c r="C250" t="s">
        <v>349</v>
      </c>
      <c r="D250" t="s">
        <v>1145</v>
      </c>
      <c r="E250">
        <v>-8619</v>
      </c>
      <c r="F250" t="s">
        <v>1290</v>
      </c>
      <c r="G250" t="s">
        <v>1742</v>
      </c>
      <c r="H250" t="s">
        <v>1394</v>
      </c>
      <c r="I250" t="s">
        <v>1610</v>
      </c>
      <c r="J250" t="s">
        <v>1187</v>
      </c>
      <c r="K250" t="b">
        <v>1</v>
      </c>
      <c r="L250" t="b">
        <v>0</v>
      </c>
      <c r="M250" t="s">
        <v>1187</v>
      </c>
      <c r="N250" t="s">
        <v>1291</v>
      </c>
      <c r="O250" t="s">
        <v>1190</v>
      </c>
      <c r="P250" t="s">
        <v>1201</v>
      </c>
      <c r="Q250" t="s">
        <v>1724</v>
      </c>
    </row>
    <row r="251" spans="1:17" x14ac:dyDescent="0.25">
      <c r="A251" t="s">
        <v>39</v>
      </c>
      <c r="B251" t="s">
        <v>1743</v>
      </c>
      <c r="C251" t="s">
        <v>349</v>
      </c>
      <c r="D251" t="s">
        <v>1146</v>
      </c>
      <c r="E251">
        <v>-8236</v>
      </c>
      <c r="F251" t="s">
        <v>1290</v>
      </c>
      <c r="G251" t="s">
        <v>1744</v>
      </c>
      <c r="H251" t="s">
        <v>1394</v>
      </c>
      <c r="I251" t="s">
        <v>1217</v>
      </c>
      <c r="J251" t="s">
        <v>1187</v>
      </c>
      <c r="K251" t="b">
        <v>1</v>
      </c>
      <c r="L251" t="b">
        <v>0</v>
      </c>
      <c r="M251" t="s">
        <v>1187</v>
      </c>
      <c r="N251" t="s">
        <v>1291</v>
      </c>
      <c r="O251" t="s">
        <v>1190</v>
      </c>
      <c r="P251" t="s">
        <v>1201</v>
      </c>
      <c r="Q251" t="s">
        <v>1724</v>
      </c>
    </row>
    <row r="252" spans="1:17" x14ac:dyDescent="0.25">
      <c r="A252" t="s">
        <v>39</v>
      </c>
      <c r="B252" t="s">
        <v>1745</v>
      </c>
      <c r="C252" t="s">
        <v>349</v>
      </c>
      <c r="D252" t="s">
        <v>1147</v>
      </c>
      <c r="E252">
        <v>-8894</v>
      </c>
      <c r="F252" t="s">
        <v>1290</v>
      </c>
      <c r="G252" t="s">
        <v>1746</v>
      </c>
      <c r="H252" t="s">
        <v>1394</v>
      </c>
      <c r="I252" t="s">
        <v>1220</v>
      </c>
      <c r="J252" t="s">
        <v>1187</v>
      </c>
      <c r="K252" t="b">
        <v>1</v>
      </c>
      <c r="L252" t="b">
        <v>0</v>
      </c>
      <c r="M252" t="s">
        <v>1187</v>
      </c>
      <c r="N252" t="s">
        <v>1291</v>
      </c>
      <c r="O252" t="s">
        <v>1190</v>
      </c>
      <c r="P252" t="s">
        <v>1201</v>
      </c>
      <c r="Q252" t="s">
        <v>1724</v>
      </c>
    </row>
    <row r="253" spans="1:17" x14ac:dyDescent="0.25">
      <c r="A253" t="s">
        <v>39</v>
      </c>
      <c r="B253" t="s">
        <v>1747</v>
      </c>
      <c r="C253" t="s">
        <v>349</v>
      </c>
      <c r="D253" t="s">
        <v>1232</v>
      </c>
      <c r="E253">
        <v>-22403</v>
      </c>
      <c r="F253" t="s">
        <v>1290</v>
      </c>
      <c r="G253" t="s">
        <v>1748</v>
      </c>
      <c r="H253" t="s">
        <v>1394</v>
      </c>
      <c r="I253" t="s">
        <v>1402</v>
      </c>
      <c r="J253" t="s">
        <v>1187</v>
      </c>
      <c r="K253" t="b">
        <v>1</v>
      </c>
      <c r="L253" t="b">
        <v>0</v>
      </c>
      <c r="M253" t="s">
        <v>1187</v>
      </c>
      <c r="N253" t="s">
        <v>1291</v>
      </c>
      <c r="O253" t="s">
        <v>1190</v>
      </c>
      <c r="P253" t="s">
        <v>1201</v>
      </c>
      <c r="Q253" t="s">
        <v>1749</v>
      </c>
    </row>
    <row r="254" spans="1:17" x14ac:dyDescent="0.25">
      <c r="A254" t="s">
        <v>39</v>
      </c>
      <c r="B254" t="s">
        <v>1750</v>
      </c>
      <c r="C254" t="s">
        <v>352</v>
      </c>
      <c r="D254" t="s">
        <v>1137</v>
      </c>
      <c r="E254">
        <v>2343.1</v>
      </c>
      <c r="F254" t="s">
        <v>1290</v>
      </c>
      <c r="G254" t="s">
        <v>1751</v>
      </c>
      <c r="H254" t="s">
        <v>1394</v>
      </c>
      <c r="I254" t="s">
        <v>1420</v>
      </c>
      <c r="J254" t="s">
        <v>1187</v>
      </c>
      <c r="K254" t="b">
        <v>1</v>
      </c>
      <c r="L254" t="b">
        <v>0</v>
      </c>
      <c r="M254" t="s">
        <v>1187</v>
      </c>
      <c r="N254" t="s">
        <v>1291</v>
      </c>
      <c r="O254" t="s">
        <v>1190</v>
      </c>
      <c r="P254" t="s">
        <v>1201</v>
      </c>
      <c r="Q254" t="s">
        <v>1752</v>
      </c>
    </row>
    <row r="255" spans="1:17" x14ac:dyDescent="0.25">
      <c r="A255" t="s">
        <v>39</v>
      </c>
      <c r="B255" t="s">
        <v>1753</v>
      </c>
      <c r="C255" t="s">
        <v>352</v>
      </c>
      <c r="D255" t="s">
        <v>1138</v>
      </c>
      <c r="E255">
        <v>2357.7</v>
      </c>
      <c r="F255" t="s">
        <v>1290</v>
      </c>
      <c r="G255" t="s">
        <v>1754</v>
      </c>
      <c r="H255" t="s">
        <v>1394</v>
      </c>
      <c r="I255" t="s">
        <v>1424</v>
      </c>
      <c r="J255" t="s">
        <v>1187</v>
      </c>
      <c r="K255" t="b">
        <v>1</v>
      </c>
      <c r="L255" t="b">
        <v>0</v>
      </c>
      <c r="M255" t="s">
        <v>1187</v>
      </c>
      <c r="N255" t="s">
        <v>1291</v>
      </c>
      <c r="O255" t="s">
        <v>1190</v>
      </c>
      <c r="P255" t="s">
        <v>1201</v>
      </c>
      <c r="Q255" t="s">
        <v>1752</v>
      </c>
    </row>
    <row r="256" spans="1:17" x14ac:dyDescent="0.25">
      <c r="A256" t="s">
        <v>39</v>
      </c>
      <c r="B256" t="s">
        <v>1755</v>
      </c>
      <c r="C256" t="s">
        <v>352</v>
      </c>
      <c r="D256" t="s">
        <v>1139</v>
      </c>
      <c r="E256">
        <v>2170.3</v>
      </c>
      <c r="F256" t="s">
        <v>1290</v>
      </c>
      <c r="G256" t="s">
        <v>1756</v>
      </c>
      <c r="H256" t="s">
        <v>1394</v>
      </c>
      <c r="I256" t="s">
        <v>1427</v>
      </c>
      <c r="J256" t="s">
        <v>1187</v>
      </c>
      <c r="K256" t="b">
        <v>1</v>
      </c>
      <c r="L256" t="b">
        <v>0</v>
      </c>
      <c r="M256" t="s">
        <v>1187</v>
      </c>
      <c r="N256" t="s">
        <v>1291</v>
      </c>
      <c r="O256" t="s">
        <v>1190</v>
      </c>
      <c r="P256" t="s">
        <v>1201</v>
      </c>
      <c r="Q256" t="s">
        <v>1752</v>
      </c>
    </row>
    <row r="257" spans="1:17" x14ac:dyDescent="0.25">
      <c r="A257" t="s">
        <v>39</v>
      </c>
      <c r="B257" t="s">
        <v>1757</v>
      </c>
      <c r="C257" t="s">
        <v>352</v>
      </c>
      <c r="D257" t="s">
        <v>1140</v>
      </c>
      <c r="E257">
        <v>2120</v>
      </c>
      <c r="F257" t="s">
        <v>1290</v>
      </c>
      <c r="G257" t="s">
        <v>1758</v>
      </c>
      <c r="H257" t="s">
        <v>1394</v>
      </c>
      <c r="I257" t="s">
        <v>1430</v>
      </c>
      <c r="J257" t="s">
        <v>1187</v>
      </c>
      <c r="K257" t="b">
        <v>1</v>
      </c>
      <c r="L257" t="b">
        <v>0</v>
      </c>
      <c r="M257" t="s">
        <v>1187</v>
      </c>
      <c r="N257" t="s">
        <v>1291</v>
      </c>
      <c r="O257" t="s">
        <v>1190</v>
      </c>
      <c r="P257" t="s">
        <v>1201</v>
      </c>
      <c r="Q257" t="s">
        <v>1752</v>
      </c>
    </row>
    <row r="258" spans="1:17" x14ac:dyDescent="0.25">
      <c r="A258" t="s">
        <v>39</v>
      </c>
      <c r="B258" t="s">
        <v>1759</v>
      </c>
      <c r="C258" t="s">
        <v>352</v>
      </c>
      <c r="D258" t="s">
        <v>1141</v>
      </c>
      <c r="E258">
        <v>2107.2</v>
      </c>
      <c r="F258" t="s">
        <v>1290</v>
      </c>
      <c r="G258" t="s">
        <v>1760</v>
      </c>
      <c r="H258" t="s">
        <v>1394</v>
      </c>
      <c r="I258" t="s">
        <v>1199</v>
      </c>
      <c r="J258" t="s">
        <v>1187</v>
      </c>
      <c r="K258" t="b">
        <v>1</v>
      </c>
      <c r="L258" t="b">
        <v>0</v>
      </c>
      <c r="M258" t="s">
        <v>1187</v>
      </c>
      <c r="N258" t="s">
        <v>1291</v>
      </c>
      <c r="O258" t="s">
        <v>1190</v>
      </c>
      <c r="P258" t="s">
        <v>1201</v>
      </c>
      <c r="Q258" t="s">
        <v>1752</v>
      </c>
    </row>
    <row r="259" spans="1:17" x14ac:dyDescent="0.25">
      <c r="A259" t="s">
        <v>39</v>
      </c>
      <c r="B259" t="s">
        <v>1761</v>
      </c>
      <c r="C259" t="s">
        <v>352</v>
      </c>
      <c r="D259" t="s">
        <v>1142</v>
      </c>
      <c r="E259">
        <v>1953.5</v>
      </c>
      <c r="F259" t="s">
        <v>1290</v>
      </c>
      <c r="G259" t="s">
        <v>1762</v>
      </c>
      <c r="H259" t="s">
        <v>1394</v>
      </c>
      <c r="I259" t="s">
        <v>1205</v>
      </c>
      <c r="J259" t="s">
        <v>1187</v>
      </c>
      <c r="K259" t="b">
        <v>1</v>
      </c>
      <c r="L259" t="b">
        <v>0</v>
      </c>
      <c r="M259" t="s">
        <v>1187</v>
      </c>
      <c r="N259" t="s">
        <v>1291</v>
      </c>
      <c r="O259" t="s">
        <v>1190</v>
      </c>
      <c r="P259" t="s">
        <v>1201</v>
      </c>
      <c r="Q259" t="s">
        <v>1752</v>
      </c>
    </row>
    <row r="260" spans="1:17" x14ac:dyDescent="0.25">
      <c r="A260" t="s">
        <v>39</v>
      </c>
      <c r="B260" t="s">
        <v>1763</v>
      </c>
      <c r="C260" t="s">
        <v>352</v>
      </c>
      <c r="D260" t="s">
        <v>1143</v>
      </c>
      <c r="E260">
        <v>1803.5</v>
      </c>
      <c r="F260" t="s">
        <v>1290</v>
      </c>
      <c r="G260" t="s">
        <v>1764</v>
      </c>
      <c r="H260" t="s">
        <v>1394</v>
      </c>
      <c r="I260" t="s">
        <v>1208</v>
      </c>
      <c r="J260" t="s">
        <v>1187</v>
      </c>
      <c r="K260" t="b">
        <v>1</v>
      </c>
      <c r="L260" t="b">
        <v>0</v>
      </c>
      <c r="M260" t="s">
        <v>1187</v>
      </c>
      <c r="N260" t="s">
        <v>1291</v>
      </c>
      <c r="O260" t="s">
        <v>1190</v>
      </c>
      <c r="P260" t="s">
        <v>1201</v>
      </c>
      <c r="Q260" t="s">
        <v>1752</v>
      </c>
    </row>
    <row r="261" spans="1:17" x14ac:dyDescent="0.25">
      <c r="A261" t="s">
        <v>39</v>
      </c>
      <c r="B261" t="s">
        <v>1765</v>
      </c>
      <c r="C261" t="s">
        <v>352</v>
      </c>
      <c r="D261" t="s">
        <v>1144</v>
      </c>
      <c r="E261">
        <v>1657</v>
      </c>
      <c r="F261" t="s">
        <v>1290</v>
      </c>
      <c r="G261" t="s">
        <v>1766</v>
      </c>
      <c r="H261" t="s">
        <v>1394</v>
      </c>
      <c r="I261" t="s">
        <v>1402</v>
      </c>
      <c r="J261" t="s">
        <v>1187</v>
      </c>
      <c r="K261" t="b">
        <v>1</v>
      </c>
      <c r="L261" t="b">
        <v>0</v>
      </c>
      <c r="M261" t="s">
        <v>1187</v>
      </c>
      <c r="N261" t="s">
        <v>1291</v>
      </c>
      <c r="O261" t="s">
        <v>1190</v>
      </c>
      <c r="P261" t="s">
        <v>1201</v>
      </c>
      <c r="Q261" t="s">
        <v>1752</v>
      </c>
    </row>
    <row r="262" spans="1:17" x14ac:dyDescent="0.25">
      <c r="A262" t="s">
        <v>39</v>
      </c>
      <c r="B262" t="s">
        <v>1767</v>
      </c>
      <c r="C262" t="s">
        <v>352</v>
      </c>
      <c r="D262" t="s">
        <v>1145</v>
      </c>
      <c r="E262">
        <v>1607</v>
      </c>
      <c r="F262" t="s">
        <v>1290</v>
      </c>
      <c r="G262" t="s">
        <v>1768</v>
      </c>
      <c r="H262" t="s">
        <v>1394</v>
      </c>
      <c r="I262" t="s">
        <v>1214</v>
      </c>
      <c r="J262" t="s">
        <v>1187</v>
      </c>
      <c r="K262" t="b">
        <v>1</v>
      </c>
      <c r="L262" t="b">
        <v>0</v>
      </c>
      <c r="M262" t="s">
        <v>1187</v>
      </c>
      <c r="N262" t="s">
        <v>1291</v>
      </c>
      <c r="O262" t="s">
        <v>1190</v>
      </c>
      <c r="P262" t="s">
        <v>1201</v>
      </c>
      <c r="Q262" t="s">
        <v>1752</v>
      </c>
    </row>
    <row r="263" spans="1:17" x14ac:dyDescent="0.25">
      <c r="A263" t="s">
        <v>39</v>
      </c>
      <c r="B263" t="s">
        <v>1769</v>
      </c>
      <c r="C263" t="s">
        <v>352</v>
      </c>
      <c r="D263" t="s">
        <v>1146</v>
      </c>
      <c r="E263">
        <v>1623</v>
      </c>
      <c r="F263" t="s">
        <v>1290</v>
      </c>
      <c r="G263" t="s">
        <v>1770</v>
      </c>
      <c r="H263" t="s">
        <v>1394</v>
      </c>
      <c r="I263" t="s">
        <v>1217</v>
      </c>
      <c r="J263" t="s">
        <v>1187</v>
      </c>
      <c r="K263" t="b">
        <v>1</v>
      </c>
      <c r="L263" t="b">
        <v>0</v>
      </c>
      <c r="M263" t="s">
        <v>1187</v>
      </c>
      <c r="N263" t="s">
        <v>1291</v>
      </c>
      <c r="O263" t="s">
        <v>1190</v>
      </c>
      <c r="P263" t="s">
        <v>1201</v>
      </c>
      <c r="Q263" t="s">
        <v>1752</v>
      </c>
    </row>
    <row r="264" spans="1:17" x14ac:dyDescent="0.25">
      <c r="A264" t="s">
        <v>39</v>
      </c>
      <c r="B264" t="s">
        <v>1771</v>
      </c>
      <c r="C264" t="s">
        <v>352</v>
      </c>
      <c r="D264" t="s">
        <v>1147</v>
      </c>
      <c r="E264">
        <v>1092</v>
      </c>
      <c r="F264" t="s">
        <v>1290</v>
      </c>
      <c r="G264" t="s">
        <v>1772</v>
      </c>
      <c r="H264" t="s">
        <v>1394</v>
      </c>
      <c r="I264" t="s">
        <v>1220</v>
      </c>
      <c r="J264" t="s">
        <v>1187</v>
      </c>
      <c r="K264" t="b">
        <v>1</v>
      </c>
      <c r="L264" t="b">
        <v>0</v>
      </c>
      <c r="M264" t="s">
        <v>1187</v>
      </c>
      <c r="N264" t="s">
        <v>1291</v>
      </c>
      <c r="O264" t="s">
        <v>1190</v>
      </c>
      <c r="P264" t="s">
        <v>1201</v>
      </c>
      <c r="Q264" t="s">
        <v>1752</v>
      </c>
    </row>
    <row r="265" spans="1:17" x14ac:dyDescent="0.25">
      <c r="A265" t="s">
        <v>39</v>
      </c>
      <c r="B265" t="s">
        <v>1773</v>
      </c>
      <c r="C265" t="s">
        <v>352</v>
      </c>
      <c r="D265" t="s">
        <v>1232</v>
      </c>
      <c r="E265">
        <v>836</v>
      </c>
      <c r="F265" t="s">
        <v>1290</v>
      </c>
      <c r="G265" t="s">
        <v>1774</v>
      </c>
      <c r="H265" t="s">
        <v>1394</v>
      </c>
      <c r="I265" t="s">
        <v>1402</v>
      </c>
      <c r="J265" t="s">
        <v>1187</v>
      </c>
      <c r="K265" t="b">
        <v>1</v>
      </c>
      <c r="L265" t="b">
        <v>0</v>
      </c>
      <c r="M265" t="s">
        <v>1187</v>
      </c>
      <c r="N265" t="s">
        <v>1291</v>
      </c>
      <c r="O265" t="s">
        <v>1190</v>
      </c>
      <c r="P265" t="s">
        <v>1201</v>
      </c>
      <c r="Q265" t="s">
        <v>1775</v>
      </c>
    </row>
    <row r="266" spans="1:17" x14ac:dyDescent="0.25">
      <c r="A266" t="s">
        <v>39</v>
      </c>
      <c r="B266" t="s">
        <v>1776</v>
      </c>
      <c r="C266" t="s">
        <v>353</v>
      </c>
      <c r="D266" t="s">
        <v>1137</v>
      </c>
      <c r="E266">
        <v>7582.7</v>
      </c>
      <c r="F266" t="s">
        <v>1197</v>
      </c>
      <c r="G266" t="s">
        <v>1777</v>
      </c>
      <c r="H266" t="s">
        <v>1394</v>
      </c>
      <c r="I266" t="s">
        <v>1420</v>
      </c>
      <c r="J266" t="s">
        <v>1187</v>
      </c>
      <c r="K266" t="b">
        <v>1</v>
      </c>
      <c r="L266" t="b">
        <v>0</v>
      </c>
      <c r="M266" t="s">
        <v>1187</v>
      </c>
      <c r="N266" t="s">
        <v>1291</v>
      </c>
      <c r="O266" t="s">
        <v>1190</v>
      </c>
      <c r="P266" t="s">
        <v>1201</v>
      </c>
      <c r="Q266" t="s">
        <v>1187</v>
      </c>
    </row>
    <row r="267" spans="1:17" x14ac:dyDescent="0.25">
      <c r="A267" t="s">
        <v>39</v>
      </c>
      <c r="B267" t="s">
        <v>1778</v>
      </c>
      <c r="C267" t="s">
        <v>353</v>
      </c>
      <c r="D267" t="s">
        <v>1138</v>
      </c>
      <c r="E267">
        <v>7852.7</v>
      </c>
      <c r="F267" t="s">
        <v>1197</v>
      </c>
      <c r="G267" t="s">
        <v>1779</v>
      </c>
      <c r="H267" t="s">
        <v>1394</v>
      </c>
      <c r="I267" t="s">
        <v>1424</v>
      </c>
      <c r="J267" t="s">
        <v>1187</v>
      </c>
      <c r="K267" t="b">
        <v>1</v>
      </c>
      <c r="L267" t="b">
        <v>0</v>
      </c>
      <c r="M267" t="s">
        <v>1187</v>
      </c>
      <c r="N267" t="s">
        <v>1291</v>
      </c>
      <c r="O267" t="s">
        <v>1190</v>
      </c>
      <c r="P267" t="s">
        <v>1201</v>
      </c>
      <c r="Q267" t="s">
        <v>1187</v>
      </c>
    </row>
    <row r="268" spans="1:17" x14ac:dyDescent="0.25">
      <c r="A268" t="s">
        <v>39</v>
      </c>
      <c r="B268" t="s">
        <v>1780</v>
      </c>
      <c r="C268" t="s">
        <v>353</v>
      </c>
      <c r="D268" t="s">
        <v>1139</v>
      </c>
      <c r="E268">
        <v>8163.5</v>
      </c>
      <c r="F268" t="s">
        <v>1197</v>
      </c>
      <c r="G268" t="s">
        <v>1781</v>
      </c>
      <c r="H268" t="s">
        <v>1394</v>
      </c>
      <c r="I268" t="s">
        <v>1427</v>
      </c>
      <c r="J268" t="s">
        <v>1187</v>
      </c>
      <c r="K268" t="b">
        <v>1</v>
      </c>
      <c r="L268" t="b">
        <v>0</v>
      </c>
      <c r="M268" t="s">
        <v>1187</v>
      </c>
      <c r="N268" t="s">
        <v>1291</v>
      </c>
      <c r="O268" t="s">
        <v>1190</v>
      </c>
      <c r="P268" t="s">
        <v>1201</v>
      </c>
      <c r="Q268" t="s">
        <v>1187</v>
      </c>
    </row>
    <row r="269" spans="1:17" x14ac:dyDescent="0.25">
      <c r="A269" t="s">
        <v>39</v>
      </c>
      <c r="B269" t="s">
        <v>1782</v>
      </c>
      <c r="C269" t="s">
        <v>353</v>
      </c>
      <c r="D269" t="s">
        <v>1140</v>
      </c>
      <c r="E269">
        <v>8434</v>
      </c>
      <c r="F269" t="s">
        <v>1197</v>
      </c>
      <c r="G269" t="s">
        <v>1783</v>
      </c>
      <c r="H269" t="s">
        <v>1394</v>
      </c>
      <c r="I269" t="s">
        <v>1430</v>
      </c>
      <c r="J269" t="s">
        <v>1187</v>
      </c>
      <c r="K269" t="b">
        <v>1</v>
      </c>
      <c r="L269" t="b">
        <v>0</v>
      </c>
      <c r="M269" t="s">
        <v>1187</v>
      </c>
      <c r="N269" t="s">
        <v>1291</v>
      </c>
      <c r="O269" t="s">
        <v>1190</v>
      </c>
      <c r="P269" t="s">
        <v>1201</v>
      </c>
      <c r="Q269" t="s">
        <v>1187</v>
      </c>
    </row>
    <row r="270" spans="1:17" x14ac:dyDescent="0.25">
      <c r="A270" t="s">
        <v>39</v>
      </c>
      <c r="B270" t="s">
        <v>1784</v>
      </c>
      <c r="C270" t="s">
        <v>353</v>
      </c>
      <c r="D270" t="s">
        <v>1141</v>
      </c>
      <c r="E270">
        <v>8717.9</v>
      </c>
      <c r="F270" t="s">
        <v>1197</v>
      </c>
      <c r="G270" t="s">
        <v>1785</v>
      </c>
      <c r="H270" t="s">
        <v>1394</v>
      </c>
      <c r="I270" t="s">
        <v>1199</v>
      </c>
      <c r="J270" t="s">
        <v>1187</v>
      </c>
      <c r="K270" t="b">
        <v>1</v>
      </c>
      <c r="L270" t="b">
        <v>0</v>
      </c>
      <c r="M270" t="s">
        <v>1187</v>
      </c>
      <c r="N270" t="s">
        <v>1291</v>
      </c>
      <c r="O270" t="s">
        <v>1190</v>
      </c>
      <c r="P270" t="s">
        <v>1201</v>
      </c>
      <c r="Q270" t="s">
        <v>1187</v>
      </c>
    </row>
    <row r="271" spans="1:17" x14ac:dyDescent="0.25">
      <c r="A271" t="s">
        <v>39</v>
      </c>
      <c r="B271" t="s">
        <v>1786</v>
      </c>
      <c r="C271" t="s">
        <v>353</v>
      </c>
      <c r="D271" t="s">
        <v>1142</v>
      </c>
      <c r="E271">
        <v>9060.7</v>
      </c>
      <c r="F271" t="s">
        <v>1197</v>
      </c>
      <c r="G271" t="s">
        <v>1787</v>
      </c>
      <c r="H271" t="s">
        <v>1394</v>
      </c>
      <c r="I271" t="s">
        <v>1205</v>
      </c>
      <c r="J271" t="s">
        <v>1187</v>
      </c>
      <c r="K271" t="b">
        <v>1</v>
      </c>
      <c r="L271" t="b">
        <v>0</v>
      </c>
      <c r="M271" t="s">
        <v>1187</v>
      </c>
      <c r="N271" t="s">
        <v>1291</v>
      </c>
      <c r="O271" t="s">
        <v>1190</v>
      </c>
      <c r="P271" t="s">
        <v>1201</v>
      </c>
      <c r="Q271" t="s">
        <v>1187</v>
      </c>
    </row>
    <row r="272" spans="1:17" x14ac:dyDescent="0.25">
      <c r="A272" t="s">
        <v>39</v>
      </c>
      <c r="B272" t="s">
        <v>1788</v>
      </c>
      <c r="C272" t="s">
        <v>353</v>
      </c>
      <c r="D272" t="s">
        <v>1143</v>
      </c>
      <c r="E272">
        <v>9443.9</v>
      </c>
      <c r="F272" t="s">
        <v>1197</v>
      </c>
      <c r="G272" t="s">
        <v>1789</v>
      </c>
      <c r="H272" t="s">
        <v>1394</v>
      </c>
      <c r="I272" t="s">
        <v>1208</v>
      </c>
      <c r="J272" t="s">
        <v>1187</v>
      </c>
      <c r="K272" t="b">
        <v>1</v>
      </c>
      <c r="L272" t="b">
        <v>0</v>
      </c>
      <c r="M272" t="s">
        <v>1187</v>
      </c>
      <c r="N272" t="s">
        <v>1291</v>
      </c>
      <c r="O272" t="s">
        <v>1190</v>
      </c>
      <c r="P272" t="s">
        <v>1201</v>
      </c>
      <c r="Q272" t="s">
        <v>1187</v>
      </c>
    </row>
    <row r="273" spans="1:17" x14ac:dyDescent="0.25">
      <c r="A273" t="s">
        <v>39</v>
      </c>
      <c r="B273" t="s">
        <v>1790</v>
      </c>
      <c r="C273" t="s">
        <v>353</v>
      </c>
      <c r="D273" t="s">
        <v>1144</v>
      </c>
      <c r="E273">
        <v>9774</v>
      </c>
      <c r="F273" t="s">
        <v>1197</v>
      </c>
      <c r="G273" t="s">
        <v>1791</v>
      </c>
      <c r="H273" t="s">
        <v>1394</v>
      </c>
      <c r="I273" t="s">
        <v>1402</v>
      </c>
      <c r="J273" t="s">
        <v>1187</v>
      </c>
      <c r="K273" t="b">
        <v>1</v>
      </c>
      <c r="L273" t="b">
        <v>0</v>
      </c>
      <c r="M273" t="s">
        <v>1187</v>
      </c>
      <c r="N273" t="s">
        <v>1291</v>
      </c>
      <c r="O273" t="s">
        <v>1190</v>
      </c>
      <c r="P273" t="s">
        <v>1201</v>
      </c>
      <c r="Q273" t="s">
        <v>1187</v>
      </c>
    </row>
    <row r="274" spans="1:17" x14ac:dyDescent="0.25">
      <c r="A274" t="s">
        <v>39</v>
      </c>
      <c r="B274" t="s">
        <v>1792</v>
      </c>
      <c r="C274" t="s">
        <v>353</v>
      </c>
      <c r="D274" t="s">
        <v>1145</v>
      </c>
      <c r="E274">
        <v>10087</v>
      </c>
      <c r="F274" t="s">
        <v>1197</v>
      </c>
      <c r="G274" t="s">
        <v>1793</v>
      </c>
      <c r="H274" t="s">
        <v>1394</v>
      </c>
      <c r="I274" t="s">
        <v>1214</v>
      </c>
      <c r="J274" t="s">
        <v>1187</v>
      </c>
      <c r="K274" t="b">
        <v>1</v>
      </c>
      <c r="L274" t="b">
        <v>0</v>
      </c>
      <c r="M274" t="s">
        <v>1187</v>
      </c>
      <c r="N274" t="s">
        <v>1291</v>
      </c>
      <c r="O274" t="s">
        <v>1190</v>
      </c>
      <c r="P274" t="s">
        <v>1201</v>
      </c>
      <c r="Q274" t="s">
        <v>1187</v>
      </c>
    </row>
    <row r="275" spans="1:17" x14ac:dyDescent="0.25">
      <c r="A275" t="s">
        <v>39</v>
      </c>
      <c r="B275" t="s">
        <v>1794</v>
      </c>
      <c r="C275" t="s">
        <v>353</v>
      </c>
      <c r="D275" t="s">
        <v>1146</v>
      </c>
      <c r="E275">
        <v>10455</v>
      </c>
      <c r="F275" t="s">
        <v>1197</v>
      </c>
      <c r="G275" t="s">
        <v>1795</v>
      </c>
      <c r="H275" t="s">
        <v>1394</v>
      </c>
      <c r="I275" t="s">
        <v>1217</v>
      </c>
      <c r="J275" t="s">
        <v>1187</v>
      </c>
      <c r="K275" t="b">
        <v>1</v>
      </c>
      <c r="L275" t="b">
        <v>0</v>
      </c>
      <c r="M275" t="s">
        <v>1187</v>
      </c>
      <c r="N275" t="s">
        <v>1291</v>
      </c>
      <c r="O275" t="s">
        <v>1190</v>
      </c>
      <c r="P275" t="s">
        <v>1201</v>
      </c>
      <c r="Q275" t="s">
        <v>1187</v>
      </c>
    </row>
    <row r="276" spans="1:17" x14ac:dyDescent="0.25">
      <c r="A276" t="s">
        <v>39</v>
      </c>
      <c r="B276" t="s">
        <v>1796</v>
      </c>
      <c r="C276" t="s">
        <v>353</v>
      </c>
      <c r="D276" t="s">
        <v>1147</v>
      </c>
      <c r="E276">
        <v>10810</v>
      </c>
      <c r="F276" t="s">
        <v>1197</v>
      </c>
      <c r="G276" t="s">
        <v>1797</v>
      </c>
      <c r="H276" t="s">
        <v>1394</v>
      </c>
      <c r="I276" t="s">
        <v>1220</v>
      </c>
      <c r="J276" t="s">
        <v>1187</v>
      </c>
      <c r="K276" t="b">
        <v>1</v>
      </c>
      <c r="L276" t="b">
        <v>0</v>
      </c>
      <c r="M276" t="s">
        <v>1187</v>
      </c>
      <c r="N276" t="s">
        <v>1291</v>
      </c>
      <c r="O276" t="s">
        <v>1190</v>
      </c>
      <c r="P276" t="s">
        <v>1201</v>
      </c>
      <c r="Q276" t="s">
        <v>1187</v>
      </c>
    </row>
    <row r="277" spans="1:17" x14ac:dyDescent="0.25">
      <c r="A277" t="s">
        <v>39</v>
      </c>
      <c r="B277" t="s">
        <v>1798</v>
      </c>
      <c r="C277" t="s">
        <v>353</v>
      </c>
      <c r="D277" t="s">
        <v>1232</v>
      </c>
      <c r="E277">
        <v>11161</v>
      </c>
      <c r="F277" t="s">
        <v>1197</v>
      </c>
      <c r="G277" t="s">
        <v>1799</v>
      </c>
      <c r="H277" t="s">
        <v>1394</v>
      </c>
      <c r="I277" t="s">
        <v>1402</v>
      </c>
      <c r="J277" t="s">
        <v>1187</v>
      </c>
      <c r="K277" t="b">
        <v>1</v>
      </c>
      <c r="L277" t="b">
        <v>0</v>
      </c>
      <c r="M277" t="s">
        <v>1187</v>
      </c>
      <c r="N277" t="s">
        <v>1291</v>
      </c>
      <c r="O277" t="s">
        <v>1190</v>
      </c>
      <c r="P277" t="s">
        <v>1201</v>
      </c>
      <c r="Q277" t="s">
        <v>1187</v>
      </c>
    </row>
    <row r="278" spans="1:17" x14ac:dyDescent="0.25">
      <c r="A278" t="s">
        <v>39</v>
      </c>
      <c r="B278" t="s">
        <v>1800</v>
      </c>
      <c r="C278" t="s">
        <v>354</v>
      </c>
      <c r="D278" t="s">
        <v>1137</v>
      </c>
      <c r="E278">
        <v>0</v>
      </c>
      <c r="F278" t="s">
        <v>1290</v>
      </c>
      <c r="G278" t="s">
        <v>1801</v>
      </c>
      <c r="H278" t="s">
        <v>1394</v>
      </c>
      <c r="I278" t="s">
        <v>1187</v>
      </c>
      <c r="J278" t="s">
        <v>1187</v>
      </c>
      <c r="K278" t="b">
        <v>1</v>
      </c>
      <c r="L278" t="b">
        <v>0</v>
      </c>
      <c r="M278" t="s">
        <v>1187</v>
      </c>
      <c r="N278" t="s">
        <v>1291</v>
      </c>
      <c r="O278" t="s">
        <v>1190</v>
      </c>
      <c r="P278" t="s">
        <v>1201</v>
      </c>
      <c r="Q278" t="s">
        <v>1802</v>
      </c>
    </row>
    <row r="279" spans="1:17" x14ac:dyDescent="0.25">
      <c r="A279" t="s">
        <v>39</v>
      </c>
      <c r="B279" t="s">
        <v>1803</v>
      </c>
      <c r="C279" t="s">
        <v>354</v>
      </c>
      <c r="D279" t="s">
        <v>1138</v>
      </c>
      <c r="E279">
        <v>0</v>
      </c>
      <c r="F279" t="s">
        <v>1290</v>
      </c>
      <c r="G279" t="s">
        <v>1801</v>
      </c>
      <c r="H279" t="s">
        <v>1394</v>
      </c>
      <c r="I279" t="s">
        <v>1187</v>
      </c>
      <c r="J279" t="s">
        <v>1187</v>
      </c>
      <c r="K279" t="b">
        <v>1</v>
      </c>
      <c r="L279" t="b">
        <v>0</v>
      </c>
      <c r="M279" t="s">
        <v>1187</v>
      </c>
      <c r="N279" t="s">
        <v>1291</v>
      </c>
      <c r="O279" t="s">
        <v>1190</v>
      </c>
      <c r="P279" t="s">
        <v>1201</v>
      </c>
      <c r="Q279" t="s">
        <v>1802</v>
      </c>
    </row>
    <row r="280" spans="1:17" x14ac:dyDescent="0.25">
      <c r="A280" t="s">
        <v>39</v>
      </c>
      <c r="B280" t="s">
        <v>1804</v>
      </c>
      <c r="C280" t="s">
        <v>354</v>
      </c>
      <c r="D280" t="s">
        <v>1139</v>
      </c>
      <c r="E280">
        <v>0</v>
      </c>
      <c r="F280" t="s">
        <v>1290</v>
      </c>
      <c r="G280" t="s">
        <v>1801</v>
      </c>
      <c r="H280" t="s">
        <v>1394</v>
      </c>
      <c r="I280" t="s">
        <v>1187</v>
      </c>
      <c r="J280" t="s">
        <v>1187</v>
      </c>
      <c r="K280" t="b">
        <v>1</v>
      </c>
      <c r="L280" t="b">
        <v>0</v>
      </c>
      <c r="M280" t="s">
        <v>1187</v>
      </c>
      <c r="N280" t="s">
        <v>1291</v>
      </c>
      <c r="O280" t="s">
        <v>1190</v>
      </c>
      <c r="P280" t="s">
        <v>1201</v>
      </c>
      <c r="Q280" t="s">
        <v>1802</v>
      </c>
    </row>
    <row r="281" spans="1:17" x14ac:dyDescent="0.25">
      <c r="A281" t="s">
        <v>39</v>
      </c>
      <c r="B281" t="s">
        <v>1805</v>
      </c>
      <c r="C281" t="s">
        <v>354</v>
      </c>
      <c r="D281" t="s">
        <v>1140</v>
      </c>
      <c r="E281">
        <v>0</v>
      </c>
      <c r="F281" t="s">
        <v>1290</v>
      </c>
      <c r="G281" t="s">
        <v>1801</v>
      </c>
      <c r="H281" t="s">
        <v>1394</v>
      </c>
      <c r="I281" t="s">
        <v>1187</v>
      </c>
      <c r="J281" t="s">
        <v>1187</v>
      </c>
      <c r="K281" t="b">
        <v>1</v>
      </c>
      <c r="L281" t="b">
        <v>0</v>
      </c>
      <c r="M281" t="s">
        <v>1187</v>
      </c>
      <c r="N281" t="s">
        <v>1291</v>
      </c>
      <c r="O281" t="s">
        <v>1190</v>
      </c>
      <c r="P281" t="s">
        <v>1201</v>
      </c>
      <c r="Q281" t="s">
        <v>1802</v>
      </c>
    </row>
    <row r="282" spans="1:17" x14ac:dyDescent="0.25">
      <c r="A282" t="s">
        <v>39</v>
      </c>
      <c r="B282" t="s">
        <v>1806</v>
      </c>
      <c r="C282" t="s">
        <v>354</v>
      </c>
      <c r="D282" t="s">
        <v>1141</v>
      </c>
      <c r="E282">
        <v>0</v>
      </c>
      <c r="F282" t="s">
        <v>1290</v>
      </c>
      <c r="G282" t="s">
        <v>1801</v>
      </c>
      <c r="H282" t="s">
        <v>1394</v>
      </c>
      <c r="I282" t="s">
        <v>1187</v>
      </c>
      <c r="J282" t="s">
        <v>1187</v>
      </c>
      <c r="K282" t="b">
        <v>1</v>
      </c>
      <c r="L282" t="b">
        <v>0</v>
      </c>
      <c r="M282" t="s">
        <v>1187</v>
      </c>
      <c r="N282" t="s">
        <v>1291</v>
      </c>
      <c r="O282" t="s">
        <v>1190</v>
      </c>
      <c r="P282" t="s">
        <v>1201</v>
      </c>
      <c r="Q282" t="s">
        <v>1802</v>
      </c>
    </row>
    <row r="283" spans="1:17" x14ac:dyDescent="0.25">
      <c r="A283" t="s">
        <v>39</v>
      </c>
      <c r="B283" t="s">
        <v>1807</v>
      </c>
      <c r="C283" t="s">
        <v>354</v>
      </c>
      <c r="D283" t="s">
        <v>1142</v>
      </c>
      <c r="E283">
        <v>0</v>
      </c>
      <c r="F283" t="s">
        <v>1290</v>
      </c>
      <c r="G283" t="s">
        <v>1801</v>
      </c>
      <c r="H283" t="s">
        <v>1394</v>
      </c>
      <c r="I283" t="s">
        <v>1187</v>
      </c>
      <c r="J283" t="s">
        <v>1187</v>
      </c>
      <c r="K283" t="b">
        <v>1</v>
      </c>
      <c r="L283" t="b">
        <v>0</v>
      </c>
      <c r="M283" t="s">
        <v>1187</v>
      </c>
      <c r="N283" t="s">
        <v>1291</v>
      </c>
      <c r="O283" t="s">
        <v>1190</v>
      </c>
      <c r="P283" t="s">
        <v>1201</v>
      </c>
      <c r="Q283" t="s">
        <v>1802</v>
      </c>
    </row>
    <row r="284" spans="1:17" x14ac:dyDescent="0.25">
      <c r="A284" t="s">
        <v>39</v>
      </c>
      <c r="B284" t="s">
        <v>1808</v>
      </c>
      <c r="C284" t="s">
        <v>354</v>
      </c>
      <c r="D284" t="s">
        <v>1143</v>
      </c>
      <c r="E284">
        <v>0</v>
      </c>
      <c r="F284" t="s">
        <v>1290</v>
      </c>
      <c r="G284" t="s">
        <v>1801</v>
      </c>
      <c r="H284" t="s">
        <v>1394</v>
      </c>
      <c r="I284" t="s">
        <v>1187</v>
      </c>
      <c r="J284" t="s">
        <v>1187</v>
      </c>
      <c r="K284" t="b">
        <v>1</v>
      </c>
      <c r="L284" t="b">
        <v>0</v>
      </c>
      <c r="M284" t="s">
        <v>1187</v>
      </c>
      <c r="N284" t="s">
        <v>1291</v>
      </c>
      <c r="O284" t="s">
        <v>1190</v>
      </c>
      <c r="P284" t="s">
        <v>1201</v>
      </c>
      <c r="Q284" t="s">
        <v>1802</v>
      </c>
    </row>
    <row r="285" spans="1:17" x14ac:dyDescent="0.25">
      <c r="A285" t="s">
        <v>39</v>
      </c>
      <c r="B285" t="s">
        <v>1809</v>
      </c>
      <c r="C285" t="s">
        <v>354</v>
      </c>
      <c r="D285" t="s">
        <v>1144</v>
      </c>
      <c r="E285">
        <v>0</v>
      </c>
      <c r="F285" t="s">
        <v>1290</v>
      </c>
      <c r="G285" t="s">
        <v>1801</v>
      </c>
      <c r="H285" t="s">
        <v>1394</v>
      </c>
      <c r="I285" t="s">
        <v>1187</v>
      </c>
      <c r="J285" t="s">
        <v>1187</v>
      </c>
      <c r="K285" t="b">
        <v>1</v>
      </c>
      <c r="L285" t="b">
        <v>0</v>
      </c>
      <c r="M285" t="s">
        <v>1187</v>
      </c>
      <c r="N285" t="s">
        <v>1291</v>
      </c>
      <c r="O285" t="s">
        <v>1190</v>
      </c>
      <c r="P285" t="s">
        <v>1201</v>
      </c>
      <c r="Q285" t="s">
        <v>1802</v>
      </c>
    </row>
    <row r="286" spans="1:17" x14ac:dyDescent="0.25">
      <c r="A286" t="s">
        <v>39</v>
      </c>
      <c r="B286" t="s">
        <v>1810</v>
      </c>
      <c r="C286" t="s">
        <v>354</v>
      </c>
      <c r="D286" t="s">
        <v>1145</v>
      </c>
      <c r="E286">
        <v>0</v>
      </c>
      <c r="F286" t="s">
        <v>1290</v>
      </c>
      <c r="G286" t="s">
        <v>1801</v>
      </c>
      <c r="H286" t="s">
        <v>1394</v>
      </c>
      <c r="I286" t="s">
        <v>1187</v>
      </c>
      <c r="J286" t="s">
        <v>1187</v>
      </c>
      <c r="K286" t="b">
        <v>1</v>
      </c>
      <c r="L286" t="b">
        <v>0</v>
      </c>
      <c r="M286" t="s">
        <v>1187</v>
      </c>
      <c r="N286" t="s">
        <v>1291</v>
      </c>
      <c r="O286" t="s">
        <v>1190</v>
      </c>
      <c r="P286" t="s">
        <v>1201</v>
      </c>
      <c r="Q286" t="s">
        <v>1802</v>
      </c>
    </row>
    <row r="287" spans="1:17" x14ac:dyDescent="0.25">
      <c r="A287" t="s">
        <v>39</v>
      </c>
      <c r="B287" t="s">
        <v>1811</v>
      </c>
      <c r="C287" t="s">
        <v>354</v>
      </c>
      <c r="D287" t="s">
        <v>1146</v>
      </c>
      <c r="E287">
        <v>0</v>
      </c>
      <c r="F287" t="s">
        <v>1290</v>
      </c>
      <c r="G287" t="s">
        <v>1801</v>
      </c>
      <c r="H287" t="s">
        <v>1394</v>
      </c>
      <c r="I287" t="s">
        <v>1187</v>
      </c>
      <c r="J287" t="s">
        <v>1187</v>
      </c>
      <c r="K287" t="b">
        <v>1</v>
      </c>
      <c r="L287" t="b">
        <v>0</v>
      </c>
      <c r="M287" t="s">
        <v>1187</v>
      </c>
      <c r="N287" t="s">
        <v>1291</v>
      </c>
      <c r="O287" t="s">
        <v>1190</v>
      </c>
      <c r="P287" t="s">
        <v>1201</v>
      </c>
      <c r="Q287" t="s">
        <v>1802</v>
      </c>
    </row>
    <row r="288" spans="1:17" x14ac:dyDescent="0.25">
      <c r="A288" t="s">
        <v>39</v>
      </c>
      <c r="B288" t="s">
        <v>1812</v>
      </c>
      <c r="C288" t="s">
        <v>354</v>
      </c>
      <c r="D288" t="s">
        <v>1147</v>
      </c>
      <c r="E288">
        <v>0</v>
      </c>
      <c r="F288" t="s">
        <v>1290</v>
      </c>
      <c r="G288" t="s">
        <v>1801</v>
      </c>
      <c r="H288" t="s">
        <v>1394</v>
      </c>
      <c r="I288" t="s">
        <v>1187</v>
      </c>
      <c r="J288" t="s">
        <v>1187</v>
      </c>
      <c r="K288" t="b">
        <v>1</v>
      </c>
      <c r="L288" t="b">
        <v>0</v>
      </c>
      <c r="M288" t="s">
        <v>1187</v>
      </c>
      <c r="N288" t="s">
        <v>1291</v>
      </c>
      <c r="O288" t="s">
        <v>1190</v>
      </c>
      <c r="P288" t="s">
        <v>1201</v>
      </c>
      <c r="Q288" t="s">
        <v>1802</v>
      </c>
    </row>
    <row r="289" spans="1:17" x14ac:dyDescent="0.25">
      <c r="A289" t="s">
        <v>39</v>
      </c>
      <c r="B289" t="s">
        <v>1813</v>
      </c>
      <c r="C289" t="s">
        <v>354</v>
      </c>
      <c r="D289" t="s">
        <v>1232</v>
      </c>
      <c r="E289">
        <v>0</v>
      </c>
      <c r="F289" t="s">
        <v>1290</v>
      </c>
      <c r="G289" t="s">
        <v>1801</v>
      </c>
      <c r="H289" t="s">
        <v>1394</v>
      </c>
      <c r="I289" t="s">
        <v>1187</v>
      </c>
      <c r="J289" t="s">
        <v>1187</v>
      </c>
      <c r="K289" t="b">
        <v>1</v>
      </c>
      <c r="L289" t="b">
        <v>0</v>
      </c>
      <c r="M289" t="s">
        <v>1187</v>
      </c>
      <c r="N289" t="s">
        <v>1291</v>
      </c>
      <c r="O289" t="s">
        <v>1190</v>
      </c>
      <c r="P289" t="s">
        <v>1201</v>
      </c>
      <c r="Q289" t="s">
        <v>1802</v>
      </c>
    </row>
    <row r="290" spans="1:17" x14ac:dyDescent="0.25">
      <c r="A290" t="s">
        <v>39</v>
      </c>
      <c r="B290" t="s">
        <v>1814</v>
      </c>
      <c r="C290" t="s">
        <v>355</v>
      </c>
      <c r="D290" t="s">
        <v>1137</v>
      </c>
      <c r="E290">
        <v>-9.3</v>
      </c>
      <c r="F290" t="s">
        <v>1197</v>
      </c>
      <c r="G290" t="s">
        <v>1815</v>
      </c>
      <c r="H290" t="s">
        <v>1394</v>
      </c>
      <c r="I290" t="s">
        <v>1420</v>
      </c>
      <c r="J290" t="s">
        <v>1187</v>
      </c>
      <c r="K290" t="b">
        <v>1</v>
      </c>
      <c r="L290" t="b">
        <v>0</v>
      </c>
      <c r="M290" t="s">
        <v>1187</v>
      </c>
      <c r="N290" t="s">
        <v>1291</v>
      </c>
      <c r="O290" t="s">
        <v>1190</v>
      </c>
      <c r="P290" t="s">
        <v>1201</v>
      </c>
      <c r="Q290" t="s">
        <v>1187</v>
      </c>
    </row>
    <row r="291" spans="1:17" x14ac:dyDescent="0.25">
      <c r="A291" t="s">
        <v>39</v>
      </c>
      <c r="B291" t="s">
        <v>1816</v>
      </c>
      <c r="C291" t="s">
        <v>355</v>
      </c>
      <c r="D291" t="s">
        <v>1138</v>
      </c>
      <c r="E291">
        <v>-6.7</v>
      </c>
      <c r="F291" t="s">
        <v>1197</v>
      </c>
      <c r="G291" t="s">
        <v>1817</v>
      </c>
      <c r="H291" t="s">
        <v>1394</v>
      </c>
      <c r="I291" t="s">
        <v>1424</v>
      </c>
      <c r="J291" t="s">
        <v>1187</v>
      </c>
      <c r="K291" t="b">
        <v>1</v>
      </c>
      <c r="L291" t="b">
        <v>0</v>
      </c>
      <c r="M291" t="s">
        <v>1187</v>
      </c>
      <c r="N291" t="s">
        <v>1291</v>
      </c>
      <c r="O291" t="s">
        <v>1190</v>
      </c>
      <c r="P291" t="s">
        <v>1201</v>
      </c>
      <c r="Q291" t="s">
        <v>1187</v>
      </c>
    </row>
    <row r="292" spans="1:17" x14ac:dyDescent="0.25">
      <c r="A292" t="s">
        <v>39</v>
      </c>
      <c r="B292" t="s">
        <v>1818</v>
      </c>
      <c r="C292" t="s">
        <v>355</v>
      </c>
      <c r="D292" t="s">
        <v>1139</v>
      </c>
      <c r="E292">
        <v>-2.5</v>
      </c>
      <c r="F292" t="s">
        <v>1197</v>
      </c>
      <c r="G292" t="s">
        <v>1819</v>
      </c>
      <c r="H292" t="s">
        <v>1394</v>
      </c>
      <c r="I292" t="s">
        <v>1427</v>
      </c>
      <c r="J292" t="s">
        <v>1187</v>
      </c>
      <c r="K292" t="b">
        <v>1</v>
      </c>
      <c r="L292" t="b">
        <v>0</v>
      </c>
      <c r="M292" t="s">
        <v>1187</v>
      </c>
      <c r="N292" t="s">
        <v>1291</v>
      </c>
      <c r="O292" t="s">
        <v>1190</v>
      </c>
      <c r="P292" t="s">
        <v>1201</v>
      </c>
      <c r="Q292" t="s">
        <v>1187</v>
      </c>
    </row>
    <row r="293" spans="1:17" x14ac:dyDescent="0.25">
      <c r="A293" t="s">
        <v>39</v>
      </c>
      <c r="B293" t="s">
        <v>1820</v>
      </c>
      <c r="C293" t="s">
        <v>355</v>
      </c>
      <c r="D293" t="s">
        <v>1140</v>
      </c>
      <c r="E293">
        <v>-12</v>
      </c>
      <c r="F293" t="s">
        <v>1197</v>
      </c>
      <c r="G293" t="s">
        <v>1821</v>
      </c>
      <c r="H293" t="s">
        <v>1394</v>
      </c>
      <c r="I293" t="s">
        <v>1430</v>
      </c>
      <c r="J293" t="s">
        <v>1187</v>
      </c>
      <c r="K293" t="b">
        <v>1</v>
      </c>
      <c r="L293" t="b">
        <v>0</v>
      </c>
      <c r="M293" t="s">
        <v>1187</v>
      </c>
      <c r="N293" t="s">
        <v>1291</v>
      </c>
      <c r="O293" t="s">
        <v>1190</v>
      </c>
      <c r="P293" t="s">
        <v>1201</v>
      </c>
      <c r="Q293" t="s">
        <v>1187</v>
      </c>
    </row>
    <row r="294" spans="1:17" x14ac:dyDescent="0.25">
      <c r="A294" t="s">
        <v>39</v>
      </c>
      <c r="B294" t="s">
        <v>1822</v>
      </c>
      <c r="C294" t="s">
        <v>355</v>
      </c>
      <c r="D294" t="s">
        <v>1141</v>
      </c>
      <c r="E294">
        <v>-5.3</v>
      </c>
      <c r="F294" t="s">
        <v>1197</v>
      </c>
      <c r="G294" t="s">
        <v>1823</v>
      </c>
      <c r="H294" t="s">
        <v>1394</v>
      </c>
      <c r="I294" t="s">
        <v>1199</v>
      </c>
      <c r="J294" t="s">
        <v>1187</v>
      </c>
      <c r="K294" t="b">
        <v>1</v>
      </c>
      <c r="L294" t="b">
        <v>0</v>
      </c>
      <c r="M294" t="s">
        <v>1187</v>
      </c>
      <c r="N294" t="s">
        <v>1291</v>
      </c>
      <c r="O294" t="s">
        <v>1190</v>
      </c>
      <c r="P294" t="s">
        <v>1201</v>
      </c>
      <c r="Q294" t="s">
        <v>1187</v>
      </c>
    </row>
    <row r="295" spans="1:17" x14ac:dyDescent="0.25">
      <c r="A295" t="s">
        <v>39</v>
      </c>
      <c r="B295" t="s">
        <v>1824</v>
      </c>
      <c r="C295" t="s">
        <v>355</v>
      </c>
      <c r="D295" t="s">
        <v>1142</v>
      </c>
      <c r="E295">
        <v>-9.1</v>
      </c>
      <c r="F295" t="s">
        <v>1197</v>
      </c>
      <c r="G295" t="s">
        <v>1825</v>
      </c>
      <c r="H295" t="s">
        <v>1394</v>
      </c>
      <c r="I295" t="s">
        <v>1205</v>
      </c>
      <c r="J295" t="s">
        <v>1187</v>
      </c>
      <c r="K295" t="b">
        <v>1</v>
      </c>
      <c r="L295" t="b">
        <v>0</v>
      </c>
      <c r="M295" t="s">
        <v>1187</v>
      </c>
      <c r="N295" t="s">
        <v>1291</v>
      </c>
      <c r="O295" t="s">
        <v>1190</v>
      </c>
      <c r="P295" t="s">
        <v>1201</v>
      </c>
      <c r="Q295" t="s">
        <v>1187</v>
      </c>
    </row>
    <row r="296" spans="1:17" x14ac:dyDescent="0.25">
      <c r="A296" t="s">
        <v>39</v>
      </c>
      <c r="B296" t="s">
        <v>1826</v>
      </c>
      <c r="C296" t="s">
        <v>355</v>
      </c>
      <c r="D296" t="s">
        <v>1143</v>
      </c>
      <c r="E296">
        <v>-18.6</v>
      </c>
      <c r="F296" t="s">
        <v>1197</v>
      </c>
      <c r="G296" t="s">
        <v>1827</v>
      </c>
      <c r="H296" t="s">
        <v>1394</v>
      </c>
      <c r="I296" t="s">
        <v>1208</v>
      </c>
      <c r="J296" t="s">
        <v>1187</v>
      </c>
      <c r="K296" t="b">
        <v>1</v>
      </c>
      <c r="L296" t="b">
        <v>0</v>
      </c>
      <c r="M296" t="s">
        <v>1187</v>
      </c>
      <c r="N296" t="s">
        <v>1291</v>
      </c>
      <c r="O296" t="s">
        <v>1190</v>
      </c>
      <c r="P296" t="s">
        <v>1201</v>
      </c>
      <c r="Q296" t="s">
        <v>1187</v>
      </c>
    </row>
    <row r="297" spans="1:17" x14ac:dyDescent="0.25">
      <c r="A297" t="s">
        <v>39</v>
      </c>
      <c r="B297" t="s">
        <v>1828</v>
      </c>
      <c r="C297" t="s">
        <v>355</v>
      </c>
      <c r="D297" t="s">
        <v>1144</v>
      </c>
      <c r="E297">
        <v>-26</v>
      </c>
      <c r="F297" t="s">
        <v>1197</v>
      </c>
      <c r="G297" t="s">
        <v>1829</v>
      </c>
      <c r="H297" t="s">
        <v>1394</v>
      </c>
      <c r="I297" t="s">
        <v>1402</v>
      </c>
      <c r="J297" t="s">
        <v>1187</v>
      </c>
      <c r="K297" t="b">
        <v>1</v>
      </c>
      <c r="L297" t="b">
        <v>0</v>
      </c>
      <c r="M297" t="s">
        <v>1187</v>
      </c>
      <c r="N297" t="s">
        <v>1291</v>
      </c>
      <c r="O297" t="s">
        <v>1190</v>
      </c>
      <c r="P297" t="s">
        <v>1201</v>
      </c>
      <c r="Q297" t="s">
        <v>1187</v>
      </c>
    </row>
    <row r="298" spans="1:17" x14ac:dyDescent="0.25">
      <c r="A298" t="s">
        <v>39</v>
      </c>
      <c r="B298" t="s">
        <v>1830</v>
      </c>
      <c r="C298" t="s">
        <v>355</v>
      </c>
      <c r="D298" t="s">
        <v>1145</v>
      </c>
      <c r="E298">
        <v>-31</v>
      </c>
      <c r="F298" t="s">
        <v>1197</v>
      </c>
      <c r="G298" t="s">
        <v>1831</v>
      </c>
      <c r="H298" t="s">
        <v>1394</v>
      </c>
      <c r="I298" t="s">
        <v>1214</v>
      </c>
      <c r="J298" t="s">
        <v>1187</v>
      </c>
      <c r="K298" t="b">
        <v>1</v>
      </c>
      <c r="L298" t="b">
        <v>0</v>
      </c>
      <c r="M298" t="s">
        <v>1187</v>
      </c>
      <c r="N298" t="s">
        <v>1291</v>
      </c>
      <c r="O298" t="s">
        <v>1190</v>
      </c>
      <c r="P298" t="s">
        <v>1201</v>
      </c>
      <c r="Q298" t="s">
        <v>1187</v>
      </c>
    </row>
    <row r="299" spans="1:17" x14ac:dyDescent="0.25">
      <c r="A299" t="s">
        <v>39</v>
      </c>
      <c r="B299" t="s">
        <v>1832</v>
      </c>
      <c r="C299" t="s">
        <v>355</v>
      </c>
      <c r="D299" t="s">
        <v>1146</v>
      </c>
      <c r="E299">
        <v>-28</v>
      </c>
      <c r="F299" t="s">
        <v>1197</v>
      </c>
      <c r="G299" t="s">
        <v>1833</v>
      </c>
      <c r="H299" t="s">
        <v>1394</v>
      </c>
      <c r="I299" t="s">
        <v>1217</v>
      </c>
      <c r="J299" t="s">
        <v>1187</v>
      </c>
      <c r="K299" t="b">
        <v>1</v>
      </c>
      <c r="L299" t="b">
        <v>0</v>
      </c>
      <c r="M299" t="s">
        <v>1187</v>
      </c>
      <c r="N299" t="s">
        <v>1291</v>
      </c>
      <c r="O299" t="s">
        <v>1190</v>
      </c>
      <c r="P299" t="s">
        <v>1201</v>
      </c>
      <c r="Q299" t="s">
        <v>1187</v>
      </c>
    </row>
    <row r="300" spans="1:17" x14ac:dyDescent="0.25">
      <c r="A300" t="s">
        <v>39</v>
      </c>
      <c r="B300" t="s">
        <v>1834</v>
      </c>
      <c r="C300" t="s">
        <v>355</v>
      </c>
      <c r="D300" t="s">
        <v>1147</v>
      </c>
      <c r="E300">
        <v>-31</v>
      </c>
      <c r="F300" t="s">
        <v>1197</v>
      </c>
      <c r="G300" t="s">
        <v>1831</v>
      </c>
      <c r="H300" t="s">
        <v>1394</v>
      </c>
      <c r="I300" t="s">
        <v>1220</v>
      </c>
      <c r="J300" t="s">
        <v>1187</v>
      </c>
      <c r="K300" t="b">
        <v>1</v>
      </c>
      <c r="L300" t="b">
        <v>0</v>
      </c>
      <c r="M300" t="s">
        <v>1187</v>
      </c>
      <c r="N300" t="s">
        <v>1291</v>
      </c>
      <c r="O300" t="s">
        <v>1190</v>
      </c>
      <c r="P300" t="s">
        <v>1201</v>
      </c>
      <c r="Q300" t="s">
        <v>1187</v>
      </c>
    </row>
    <row r="301" spans="1:17" x14ac:dyDescent="0.25">
      <c r="A301" t="s">
        <v>39</v>
      </c>
      <c r="B301" t="s">
        <v>1835</v>
      </c>
      <c r="C301" t="s">
        <v>355</v>
      </c>
      <c r="D301" t="s">
        <v>1232</v>
      </c>
      <c r="E301">
        <v>-29</v>
      </c>
      <c r="F301" t="s">
        <v>1197</v>
      </c>
      <c r="G301" t="s">
        <v>1836</v>
      </c>
      <c r="H301" t="s">
        <v>1394</v>
      </c>
      <c r="I301" t="s">
        <v>1402</v>
      </c>
      <c r="J301" t="s">
        <v>1187</v>
      </c>
      <c r="K301" t="b">
        <v>1</v>
      </c>
      <c r="L301" t="b">
        <v>0</v>
      </c>
      <c r="M301" t="s">
        <v>1187</v>
      </c>
      <c r="N301" t="s">
        <v>1291</v>
      </c>
      <c r="O301" t="s">
        <v>1190</v>
      </c>
      <c r="P301" t="s">
        <v>1201</v>
      </c>
      <c r="Q301" t="s">
        <v>1187</v>
      </c>
    </row>
    <row r="302" spans="1:17" x14ac:dyDescent="0.25">
      <c r="A302" t="s">
        <v>39</v>
      </c>
      <c r="B302" t="s">
        <v>1837</v>
      </c>
      <c r="C302" t="s">
        <v>357</v>
      </c>
      <c r="D302" t="s">
        <v>1137</v>
      </c>
      <c r="E302">
        <v>0.8</v>
      </c>
      <c r="F302" t="s">
        <v>1197</v>
      </c>
      <c r="G302" t="s">
        <v>1838</v>
      </c>
      <c r="H302" t="s">
        <v>1394</v>
      </c>
      <c r="I302" t="s">
        <v>1420</v>
      </c>
      <c r="J302" t="s">
        <v>1187</v>
      </c>
      <c r="K302" t="b">
        <v>1</v>
      </c>
      <c r="L302" t="b">
        <v>0</v>
      </c>
      <c r="M302" t="s">
        <v>1187</v>
      </c>
      <c r="N302" t="s">
        <v>1291</v>
      </c>
      <c r="O302" t="s">
        <v>1190</v>
      </c>
      <c r="P302" t="s">
        <v>1201</v>
      </c>
      <c r="Q302" t="s">
        <v>1187</v>
      </c>
    </row>
    <row r="303" spans="1:17" x14ac:dyDescent="0.25">
      <c r="A303" t="s">
        <v>39</v>
      </c>
      <c r="B303" t="s">
        <v>1839</v>
      </c>
      <c r="C303" t="s">
        <v>357</v>
      </c>
      <c r="D303" t="s">
        <v>1138</v>
      </c>
      <c r="E303">
        <v>1</v>
      </c>
      <c r="F303" t="s">
        <v>1197</v>
      </c>
      <c r="G303" t="s">
        <v>1840</v>
      </c>
      <c r="H303" t="s">
        <v>1394</v>
      </c>
      <c r="I303" t="s">
        <v>1424</v>
      </c>
      <c r="J303" t="s">
        <v>1187</v>
      </c>
      <c r="K303" t="b">
        <v>1</v>
      </c>
      <c r="L303" t="b">
        <v>0</v>
      </c>
      <c r="M303" t="s">
        <v>1187</v>
      </c>
      <c r="N303" t="s">
        <v>1291</v>
      </c>
      <c r="O303" t="s">
        <v>1190</v>
      </c>
      <c r="P303" t="s">
        <v>1201</v>
      </c>
      <c r="Q303" t="s">
        <v>1187</v>
      </c>
    </row>
    <row r="304" spans="1:17" x14ac:dyDescent="0.25">
      <c r="A304" t="s">
        <v>39</v>
      </c>
      <c r="B304" t="s">
        <v>1841</v>
      </c>
      <c r="C304" t="s">
        <v>357</v>
      </c>
      <c r="D304" t="s">
        <v>1139</v>
      </c>
      <c r="E304">
        <v>1.1</v>
      </c>
      <c r="F304" t="s">
        <v>1197</v>
      </c>
      <c r="G304" t="s">
        <v>1842</v>
      </c>
      <c r="H304" t="s">
        <v>1394</v>
      </c>
      <c r="I304" t="s">
        <v>1427</v>
      </c>
      <c r="J304" t="s">
        <v>1187</v>
      </c>
      <c r="K304" t="b">
        <v>1</v>
      </c>
      <c r="L304" t="b">
        <v>0</v>
      </c>
      <c r="M304" t="s">
        <v>1187</v>
      </c>
      <c r="N304" t="s">
        <v>1291</v>
      </c>
      <c r="O304" t="s">
        <v>1190</v>
      </c>
      <c r="P304" t="s">
        <v>1201</v>
      </c>
      <c r="Q304" t="s">
        <v>1187</v>
      </c>
    </row>
    <row r="305" spans="1:17" x14ac:dyDescent="0.25">
      <c r="A305" t="s">
        <v>39</v>
      </c>
      <c r="B305" t="s">
        <v>1843</v>
      </c>
      <c r="C305" t="s">
        <v>357</v>
      </c>
      <c r="D305" t="s">
        <v>1140</v>
      </c>
      <c r="E305">
        <v>1</v>
      </c>
      <c r="F305" t="s">
        <v>1197</v>
      </c>
      <c r="G305" t="s">
        <v>1840</v>
      </c>
      <c r="H305" t="s">
        <v>1394</v>
      </c>
      <c r="I305" t="s">
        <v>1430</v>
      </c>
      <c r="J305" t="s">
        <v>1187</v>
      </c>
      <c r="K305" t="b">
        <v>1</v>
      </c>
      <c r="L305" t="b">
        <v>0</v>
      </c>
      <c r="M305" t="s">
        <v>1187</v>
      </c>
      <c r="N305" t="s">
        <v>1291</v>
      </c>
      <c r="O305" t="s">
        <v>1190</v>
      </c>
      <c r="P305" t="s">
        <v>1201</v>
      </c>
      <c r="Q305" t="s">
        <v>1187</v>
      </c>
    </row>
    <row r="306" spans="1:17" x14ac:dyDescent="0.25">
      <c r="A306" t="s">
        <v>39</v>
      </c>
      <c r="B306" t="s">
        <v>1844</v>
      </c>
      <c r="C306" t="s">
        <v>357</v>
      </c>
      <c r="D306" t="s">
        <v>1141</v>
      </c>
      <c r="E306">
        <v>0.8</v>
      </c>
      <c r="F306" t="s">
        <v>1197</v>
      </c>
      <c r="G306" t="s">
        <v>1838</v>
      </c>
      <c r="H306" t="s">
        <v>1394</v>
      </c>
      <c r="I306" t="s">
        <v>1199</v>
      </c>
      <c r="J306" t="s">
        <v>1187</v>
      </c>
      <c r="K306" t="b">
        <v>1</v>
      </c>
      <c r="L306" t="b">
        <v>0</v>
      </c>
      <c r="M306" t="s">
        <v>1187</v>
      </c>
      <c r="N306" t="s">
        <v>1291</v>
      </c>
      <c r="O306" t="s">
        <v>1190</v>
      </c>
      <c r="P306" t="s">
        <v>1201</v>
      </c>
      <c r="Q306" t="s">
        <v>1187</v>
      </c>
    </row>
    <row r="307" spans="1:17" x14ac:dyDescent="0.25">
      <c r="A307" t="s">
        <v>39</v>
      </c>
      <c r="B307" t="s">
        <v>1845</v>
      </c>
      <c r="C307" t="s">
        <v>357</v>
      </c>
      <c r="D307" t="s">
        <v>1142</v>
      </c>
      <c r="E307">
        <v>1.2</v>
      </c>
      <c r="F307" t="s">
        <v>1197</v>
      </c>
      <c r="G307" t="s">
        <v>1846</v>
      </c>
      <c r="H307" t="s">
        <v>1394</v>
      </c>
      <c r="I307" t="s">
        <v>1205</v>
      </c>
      <c r="J307" t="s">
        <v>1187</v>
      </c>
      <c r="K307" t="b">
        <v>1</v>
      </c>
      <c r="L307" t="b">
        <v>0</v>
      </c>
      <c r="M307" t="s">
        <v>1187</v>
      </c>
      <c r="N307" t="s">
        <v>1291</v>
      </c>
      <c r="O307" t="s">
        <v>1190</v>
      </c>
      <c r="P307" t="s">
        <v>1201</v>
      </c>
      <c r="Q307" t="s">
        <v>1187</v>
      </c>
    </row>
    <row r="308" spans="1:17" x14ac:dyDescent="0.25">
      <c r="A308" t="s">
        <v>39</v>
      </c>
      <c r="B308" t="s">
        <v>1847</v>
      </c>
      <c r="C308" t="s">
        <v>357</v>
      </c>
      <c r="D308" t="s">
        <v>1143</v>
      </c>
      <c r="E308">
        <v>1.4</v>
      </c>
      <c r="F308" t="s">
        <v>1197</v>
      </c>
      <c r="G308" t="s">
        <v>1848</v>
      </c>
      <c r="H308" t="s">
        <v>1394</v>
      </c>
      <c r="I308" t="s">
        <v>1208</v>
      </c>
      <c r="J308" t="s">
        <v>1187</v>
      </c>
      <c r="K308" t="b">
        <v>1</v>
      </c>
      <c r="L308" t="b">
        <v>0</v>
      </c>
      <c r="M308" t="s">
        <v>1187</v>
      </c>
      <c r="N308" t="s">
        <v>1291</v>
      </c>
      <c r="O308" t="s">
        <v>1190</v>
      </c>
      <c r="P308" t="s">
        <v>1201</v>
      </c>
      <c r="Q308" t="s">
        <v>1187</v>
      </c>
    </row>
    <row r="309" spans="1:17" x14ac:dyDescent="0.25">
      <c r="A309" t="s">
        <v>39</v>
      </c>
      <c r="B309" t="s">
        <v>1849</v>
      </c>
      <c r="C309" t="s">
        <v>357</v>
      </c>
      <c r="D309" t="s">
        <v>1144</v>
      </c>
      <c r="E309">
        <v>2</v>
      </c>
      <c r="F309" t="s">
        <v>1197</v>
      </c>
      <c r="G309" t="s">
        <v>1850</v>
      </c>
      <c r="H309" t="s">
        <v>1394</v>
      </c>
      <c r="I309" t="s">
        <v>1402</v>
      </c>
      <c r="J309" t="s">
        <v>1187</v>
      </c>
      <c r="K309" t="b">
        <v>1</v>
      </c>
      <c r="L309" t="b">
        <v>0</v>
      </c>
      <c r="M309" t="s">
        <v>1187</v>
      </c>
      <c r="N309" t="s">
        <v>1291</v>
      </c>
      <c r="O309" t="s">
        <v>1190</v>
      </c>
      <c r="P309" t="s">
        <v>1201</v>
      </c>
      <c r="Q309" t="s">
        <v>1187</v>
      </c>
    </row>
    <row r="310" spans="1:17" x14ac:dyDescent="0.25">
      <c r="A310" t="s">
        <v>39</v>
      </c>
      <c r="B310" t="s">
        <v>1851</v>
      </c>
      <c r="C310" t="s">
        <v>357</v>
      </c>
      <c r="D310" t="s">
        <v>1145</v>
      </c>
      <c r="E310">
        <v>2</v>
      </c>
      <c r="F310" t="s">
        <v>1197</v>
      </c>
      <c r="G310" t="s">
        <v>1850</v>
      </c>
      <c r="H310" t="s">
        <v>1394</v>
      </c>
      <c r="I310" t="s">
        <v>1214</v>
      </c>
      <c r="J310" t="s">
        <v>1187</v>
      </c>
      <c r="K310" t="b">
        <v>1</v>
      </c>
      <c r="L310" t="b">
        <v>0</v>
      </c>
      <c r="M310" t="s">
        <v>1187</v>
      </c>
      <c r="N310" t="s">
        <v>1291</v>
      </c>
      <c r="O310" t="s">
        <v>1190</v>
      </c>
      <c r="P310" t="s">
        <v>1201</v>
      </c>
      <c r="Q310" t="s">
        <v>1187</v>
      </c>
    </row>
    <row r="311" spans="1:17" x14ac:dyDescent="0.25">
      <c r="A311" t="s">
        <v>39</v>
      </c>
      <c r="B311" t="s">
        <v>1852</v>
      </c>
      <c r="C311" t="s">
        <v>357</v>
      </c>
      <c r="D311" t="s">
        <v>1146</v>
      </c>
      <c r="E311">
        <v>2</v>
      </c>
      <c r="F311" t="s">
        <v>1197</v>
      </c>
      <c r="G311" t="s">
        <v>1850</v>
      </c>
      <c r="H311" t="s">
        <v>1394</v>
      </c>
      <c r="I311" t="s">
        <v>1217</v>
      </c>
      <c r="J311" t="s">
        <v>1187</v>
      </c>
      <c r="K311" t="b">
        <v>1</v>
      </c>
      <c r="L311" t="b">
        <v>0</v>
      </c>
      <c r="M311" t="s">
        <v>1187</v>
      </c>
      <c r="N311" t="s">
        <v>1291</v>
      </c>
      <c r="O311" t="s">
        <v>1190</v>
      </c>
      <c r="P311" t="s">
        <v>1201</v>
      </c>
      <c r="Q311" t="s">
        <v>1187</v>
      </c>
    </row>
    <row r="312" spans="1:17" x14ac:dyDescent="0.25">
      <c r="A312" t="s">
        <v>39</v>
      </c>
      <c r="B312" t="s">
        <v>1853</v>
      </c>
      <c r="C312" t="s">
        <v>357</v>
      </c>
      <c r="D312" t="s">
        <v>1147</v>
      </c>
      <c r="E312">
        <v>1</v>
      </c>
      <c r="F312" t="s">
        <v>1197</v>
      </c>
      <c r="G312" t="s">
        <v>1840</v>
      </c>
      <c r="H312" t="s">
        <v>1394</v>
      </c>
      <c r="I312" t="s">
        <v>1220</v>
      </c>
      <c r="J312" t="s">
        <v>1187</v>
      </c>
      <c r="K312" t="b">
        <v>1</v>
      </c>
      <c r="L312" t="b">
        <v>0</v>
      </c>
      <c r="M312" t="s">
        <v>1187</v>
      </c>
      <c r="N312" t="s">
        <v>1291</v>
      </c>
      <c r="O312" t="s">
        <v>1190</v>
      </c>
      <c r="P312" t="s">
        <v>1201</v>
      </c>
      <c r="Q312" t="s">
        <v>1187</v>
      </c>
    </row>
    <row r="313" spans="1:17" x14ac:dyDescent="0.25">
      <c r="A313" t="s">
        <v>39</v>
      </c>
      <c r="B313" t="s">
        <v>1854</v>
      </c>
      <c r="C313" t="s">
        <v>357</v>
      </c>
      <c r="D313" t="s">
        <v>1232</v>
      </c>
      <c r="E313">
        <v>1</v>
      </c>
      <c r="F313" t="s">
        <v>1197</v>
      </c>
      <c r="G313" t="s">
        <v>1840</v>
      </c>
      <c r="H313" t="s">
        <v>1394</v>
      </c>
      <c r="I313" t="s">
        <v>1402</v>
      </c>
      <c r="J313" t="s">
        <v>1187</v>
      </c>
      <c r="K313" t="b">
        <v>1</v>
      </c>
      <c r="L313" t="b">
        <v>0</v>
      </c>
      <c r="M313" t="s">
        <v>1187</v>
      </c>
      <c r="N313" t="s">
        <v>1291</v>
      </c>
      <c r="O313" t="s">
        <v>1190</v>
      </c>
      <c r="P313" t="s">
        <v>1201</v>
      </c>
      <c r="Q313" t="s">
        <v>1187</v>
      </c>
    </row>
    <row r="314" spans="1:17" x14ac:dyDescent="0.25">
      <c r="A314" t="s">
        <v>39</v>
      </c>
      <c r="B314" t="s">
        <v>1855</v>
      </c>
      <c r="C314" t="s">
        <v>384</v>
      </c>
      <c r="D314" t="s">
        <v>1137</v>
      </c>
      <c r="E314">
        <v>-15.1</v>
      </c>
      <c r="F314" t="s">
        <v>1197</v>
      </c>
      <c r="G314" t="s">
        <v>1856</v>
      </c>
      <c r="H314" t="s">
        <v>1857</v>
      </c>
      <c r="I314" t="s">
        <v>1420</v>
      </c>
      <c r="J314" t="s">
        <v>1187</v>
      </c>
      <c r="K314" t="b">
        <v>1</v>
      </c>
      <c r="L314" t="b">
        <v>0</v>
      </c>
      <c r="M314" t="s">
        <v>1187</v>
      </c>
      <c r="N314" t="s">
        <v>1200</v>
      </c>
      <c r="O314" t="s">
        <v>1190</v>
      </c>
      <c r="P314" t="s">
        <v>1201</v>
      </c>
      <c r="Q314" t="s">
        <v>1187</v>
      </c>
    </row>
    <row r="315" spans="1:17" x14ac:dyDescent="0.25">
      <c r="A315" t="s">
        <v>39</v>
      </c>
      <c r="B315" t="s">
        <v>1858</v>
      </c>
      <c r="C315" t="s">
        <v>384</v>
      </c>
      <c r="D315" t="s">
        <v>1138</v>
      </c>
      <c r="E315">
        <v>-15</v>
      </c>
      <c r="F315" t="s">
        <v>1197</v>
      </c>
      <c r="G315" t="s">
        <v>1859</v>
      </c>
      <c r="H315" t="s">
        <v>1857</v>
      </c>
      <c r="I315" t="s">
        <v>1424</v>
      </c>
      <c r="J315" t="s">
        <v>1187</v>
      </c>
      <c r="K315" t="b">
        <v>1</v>
      </c>
      <c r="L315" t="b">
        <v>0</v>
      </c>
      <c r="M315" t="s">
        <v>1187</v>
      </c>
      <c r="N315" t="s">
        <v>1200</v>
      </c>
      <c r="O315" t="s">
        <v>1190</v>
      </c>
      <c r="P315" t="s">
        <v>1201</v>
      </c>
      <c r="Q315" t="s">
        <v>1860</v>
      </c>
    </row>
    <row r="316" spans="1:17" x14ac:dyDescent="0.25">
      <c r="A316" t="s">
        <v>39</v>
      </c>
      <c r="B316" t="s">
        <v>1861</v>
      </c>
      <c r="C316" t="s">
        <v>384</v>
      </c>
      <c r="D316" t="s">
        <v>1139</v>
      </c>
      <c r="E316">
        <v>-17.3</v>
      </c>
      <c r="F316" t="s">
        <v>1197</v>
      </c>
      <c r="G316" t="s">
        <v>1862</v>
      </c>
      <c r="H316" t="s">
        <v>1857</v>
      </c>
      <c r="I316" t="s">
        <v>1427</v>
      </c>
      <c r="J316" t="s">
        <v>1187</v>
      </c>
      <c r="K316" t="b">
        <v>1</v>
      </c>
      <c r="L316" t="b">
        <v>0</v>
      </c>
      <c r="M316" t="s">
        <v>1187</v>
      </c>
      <c r="N316" t="s">
        <v>1200</v>
      </c>
      <c r="O316" t="s">
        <v>1190</v>
      </c>
      <c r="P316" t="s">
        <v>1201</v>
      </c>
      <c r="Q316" t="s">
        <v>1863</v>
      </c>
    </row>
    <row r="317" spans="1:17" x14ac:dyDescent="0.25">
      <c r="A317" t="s">
        <v>39</v>
      </c>
      <c r="B317" t="s">
        <v>1864</v>
      </c>
      <c r="C317" t="s">
        <v>384</v>
      </c>
      <c r="D317" t="s">
        <v>1140</v>
      </c>
      <c r="E317">
        <v>-18.6</v>
      </c>
      <c r="F317" t="s">
        <v>1197</v>
      </c>
      <c r="G317" t="s">
        <v>1865</v>
      </c>
      <c r="H317" t="s">
        <v>1857</v>
      </c>
      <c r="I317" t="s">
        <v>1187</v>
      </c>
      <c r="J317" t="s">
        <v>1187</v>
      </c>
      <c r="K317" t="b">
        <v>1</v>
      </c>
      <c r="L317" t="b">
        <v>0</v>
      </c>
      <c r="M317" t="s">
        <v>1187</v>
      </c>
      <c r="N317" t="s">
        <v>1200</v>
      </c>
      <c r="O317" t="s">
        <v>1190</v>
      </c>
      <c r="P317" t="s">
        <v>1201</v>
      </c>
      <c r="Q317" t="s">
        <v>1866</v>
      </c>
    </row>
    <row r="318" spans="1:17" x14ac:dyDescent="0.25">
      <c r="A318" t="s">
        <v>39</v>
      </c>
      <c r="B318" t="s">
        <v>1867</v>
      </c>
      <c r="C318" t="s">
        <v>384</v>
      </c>
      <c r="D318" t="s">
        <v>1141</v>
      </c>
      <c r="E318">
        <v>-17.8</v>
      </c>
      <c r="F318" t="s">
        <v>1197</v>
      </c>
      <c r="G318" t="s">
        <v>1868</v>
      </c>
      <c r="H318" t="s">
        <v>1857</v>
      </c>
      <c r="I318" t="s">
        <v>1199</v>
      </c>
      <c r="J318" t="s">
        <v>1187</v>
      </c>
      <c r="K318" t="b">
        <v>1</v>
      </c>
      <c r="L318" t="b">
        <v>0</v>
      </c>
      <c r="M318" t="s">
        <v>1187</v>
      </c>
      <c r="N318" t="s">
        <v>1200</v>
      </c>
      <c r="O318" t="s">
        <v>1190</v>
      </c>
      <c r="P318" t="s">
        <v>1201</v>
      </c>
      <c r="Q318" t="s">
        <v>1187</v>
      </c>
    </row>
    <row r="319" spans="1:17" x14ac:dyDescent="0.25">
      <c r="A319" t="s">
        <v>39</v>
      </c>
      <c r="B319" t="s">
        <v>1869</v>
      </c>
      <c r="C319" t="s">
        <v>384</v>
      </c>
      <c r="D319" t="s">
        <v>1142</v>
      </c>
      <c r="E319">
        <v>-18.7</v>
      </c>
      <c r="F319" t="s">
        <v>1197</v>
      </c>
      <c r="G319" t="s">
        <v>1870</v>
      </c>
      <c r="H319" t="s">
        <v>1857</v>
      </c>
      <c r="I319" t="s">
        <v>1205</v>
      </c>
      <c r="J319" t="s">
        <v>1187</v>
      </c>
      <c r="K319" t="b">
        <v>1</v>
      </c>
      <c r="L319" t="b">
        <v>0</v>
      </c>
      <c r="M319" t="s">
        <v>1187</v>
      </c>
      <c r="N319" t="s">
        <v>1200</v>
      </c>
      <c r="O319" t="s">
        <v>1190</v>
      </c>
      <c r="P319" t="s">
        <v>1201</v>
      </c>
      <c r="Q319" t="s">
        <v>1871</v>
      </c>
    </row>
    <row r="320" spans="1:17" x14ac:dyDescent="0.25">
      <c r="A320" t="s">
        <v>39</v>
      </c>
      <c r="B320" t="s">
        <v>1872</v>
      </c>
      <c r="C320" t="s">
        <v>384</v>
      </c>
      <c r="D320" t="s">
        <v>1143</v>
      </c>
      <c r="E320">
        <v>-17.8</v>
      </c>
      <c r="F320" t="s">
        <v>1197</v>
      </c>
      <c r="G320" t="s">
        <v>1868</v>
      </c>
      <c r="H320" t="s">
        <v>1857</v>
      </c>
      <c r="I320" t="s">
        <v>1208</v>
      </c>
      <c r="J320" t="s">
        <v>1187</v>
      </c>
      <c r="K320" t="b">
        <v>1</v>
      </c>
      <c r="L320" t="b">
        <v>0</v>
      </c>
      <c r="M320" t="s">
        <v>1187</v>
      </c>
      <c r="N320" t="s">
        <v>1200</v>
      </c>
      <c r="O320" t="s">
        <v>1190</v>
      </c>
      <c r="P320" t="s">
        <v>1201</v>
      </c>
      <c r="Q320" t="s">
        <v>1873</v>
      </c>
    </row>
    <row r="321" spans="1:17" x14ac:dyDescent="0.25">
      <c r="A321" t="s">
        <v>39</v>
      </c>
      <c r="B321" t="s">
        <v>1874</v>
      </c>
      <c r="C321" t="s">
        <v>384</v>
      </c>
      <c r="D321" t="s">
        <v>1144</v>
      </c>
      <c r="E321">
        <v>-24.7</v>
      </c>
      <c r="F321" t="s">
        <v>1197</v>
      </c>
      <c r="G321" t="s">
        <v>1875</v>
      </c>
      <c r="H321" t="s">
        <v>1857</v>
      </c>
      <c r="I321" t="s">
        <v>1187</v>
      </c>
      <c r="J321" t="s">
        <v>1187</v>
      </c>
      <c r="K321" t="b">
        <v>1</v>
      </c>
      <c r="L321" t="b">
        <v>0</v>
      </c>
      <c r="M321" t="s">
        <v>1187</v>
      </c>
      <c r="N321" t="s">
        <v>1200</v>
      </c>
      <c r="O321" t="s">
        <v>1190</v>
      </c>
      <c r="P321" t="s">
        <v>1201</v>
      </c>
      <c r="Q321" t="s">
        <v>1876</v>
      </c>
    </row>
    <row r="322" spans="1:17" x14ac:dyDescent="0.25">
      <c r="A322" t="s">
        <v>39</v>
      </c>
      <c r="B322" t="s">
        <v>1877</v>
      </c>
      <c r="C322" t="s">
        <v>384</v>
      </c>
      <c r="D322" t="s">
        <v>1145</v>
      </c>
      <c r="E322">
        <v>-21</v>
      </c>
      <c r="F322" t="s">
        <v>1197</v>
      </c>
      <c r="G322" t="s">
        <v>1878</v>
      </c>
      <c r="H322" t="s">
        <v>1857</v>
      </c>
      <c r="I322" t="s">
        <v>1214</v>
      </c>
      <c r="J322" t="s">
        <v>1187</v>
      </c>
      <c r="K322" t="b">
        <v>1</v>
      </c>
      <c r="L322" t="b">
        <v>0</v>
      </c>
      <c r="M322" t="s">
        <v>1187</v>
      </c>
      <c r="N322" t="s">
        <v>1200</v>
      </c>
      <c r="O322" t="s">
        <v>1190</v>
      </c>
      <c r="P322" t="s">
        <v>1201</v>
      </c>
      <c r="Q322" t="s">
        <v>1187</v>
      </c>
    </row>
    <row r="323" spans="1:17" x14ac:dyDescent="0.25">
      <c r="A323" t="s">
        <v>39</v>
      </c>
      <c r="B323" t="s">
        <v>1879</v>
      </c>
      <c r="C323" t="s">
        <v>384</v>
      </c>
      <c r="D323" t="s">
        <v>1146</v>
      </c>
      <c r="E323">
        <v>-22</v>
      </c>
      <c r="F323" t="s">
        <v>1197</v>
      </c>
      <c r="G323" t="s">
        <v>1880</v>
      </c>
      <c r="H323" t="s">
        <v>1857</v>
      </c>
      <c r="I323" t="s">
        <v>1217</v>
      </c>
      <c r="J323" t="s">
        <v>1187</v>
      </c>
      <c r="K323" t="b">
        <v>1</v>
      </c>
      <c r="L323" t="b">
        <v>0</v>
      </c>
      <c r="M323" t="s">
        <v>1187</v>
      </c>
      <c r="N323" t="s">
        <v>1200</v>
      </c>
      <c r="O323" t="s">
        <v>1190</v>
      </c>
      <c r="P323" t="s">
        <v>1201</v>
      </c>
      <c r="Q323" t="s">
        <v>1881</v>
      </c>
    </row>
    <row r="324" spans="1:17" x14ac:dyDescent="0.25">
      <c r="A324" t="s">
        <v>39</v>
      </c>
      <c r="B324" t="s">
        <v>1882</v>
      </c>
      <c r="C324" t="s">
        <v>384</v>
      </c>
      <c r="D324" t="s">
        <v>1147</v>
      </c>
      <c r="E324">
        <v>-22</v>
      </c>
      <c r="F324" t="s">
        <v>1197</v>
      </c>
      <c r="G324" t="s">
        <v>1880</v>
      </c>
      <c r="H324" t="s">
        <v>1857</v>
      </c>
      <c r="I324" t="s">
        <v>1220</v>
      </c>
      <c r="J324" t="s">
        <v>1187</v>
      </c>
      <c r="K324" t="b">
        <v>1</v>
      </c>
      <c r="L324" t="b">
        <v>0</v>
      </c>
      <c r="M324" t="s">
        <v>1187</v>
      </c>
      <c r="N324" t="s">
        <v>1200</v>
      </c>
      <c r="O324" t="s">
        <v>1190</v>
      </c>
      <c r="P324" t="s">
        <v>1201</v>
      </c>
      <c r="Q324" t="s">
        <v>1883</v>
      </c>
    </row>
    <row r="325" spans="1:17" x14ac:dyDescent="0.25">
      <c r="A325" t="s">
        <v>39</v>
      </c>
      <c r="B325" t="s">
        <v>1884</v>
      </c>
      <c r="C325" t="s">
        <v>384</v>
      </c>
      <c r="D325" t="s">
        <v>1232</v>
      </c>
      <c r="E325">
        <v>-24</v>
      </c>
      <c r="F325" t="s">
        <v>1197</v>
      </c>
      <c r="G325" t="s">
        <v>1885</v>
      </c>
      <c r="H325" t="s">
        <v>1857</v>
      </c>
      <c r="I325" t="s">
        <v>1187</v>
      </c>
      <c r="J325" t="s">
        <v>1187</v>
      </c>
      <c r="K325" t="b">
        <v>1</v>
      </c>
      <c r="L325" t="b">
        <v>0</v>
      </c>
      <c r="M325" t="s">
        <v>1187</v>
      </c>
      <c r="N325" t="s">
        <v>1200</v>
      </c>
      <c r="O325" t="s">
        <v>1190</v>
      </c>
      <c r="P325" t="s">
        <v>1201</v>
      </c>
      <c r="Q325" t="s">
        <v>1886</v>
      </c>
    </row>
    <row r="326" spans="1:17" x14ac:dyDescent="0.25">
      <c r="A326" t="s">
        <v>39</v>
      </c>
      <c r="B326" t="s">
        <v>1887</v>
      </c>
      <c r="C326" t="s">
        <v>402</v>
      </c>
      <c r="D326" t="s">
        <v>1137</v>
      </c>
      <c r="E326">
        <v>0</v>
      </c>
      <c r="F326" t="s">
        <v>1197</v>
      </c>
      <c r="G326" t="s">
        <v>1888</v>
      </c>
      <c r="H326" t="s">
        <v>1857</v>
      </c>
      <c r="I326" t="s">
        <v>1420</v>
      </c>
      <c r="J326" t="s">
        <v>1187</v>
      </c>
      <c r="K326" t="b">
        <v>1</v>
      </c>
      <c r="L326" t="b">
        <v>0</v>
      </c>
      <c r="M326" t="s">
        <v>1187</v>
      </c>
      <c r="N326" t="s">
        <v>1200</v>
      </c>
      <c r="O326" t="s">
        <v>1190</v>
      </c>
      <c r="P326" t="s">
        <v>1201</v>
      </c>
      <c r="Q326" t="s">
        <v>1889</v>
      </c>
    </row>
    <row r="327" spans="1:17" x14ac:dyDescent="0.25">
      <c r="A327" t="s">
        <v>39</v>
      </c>
      <c r="B327" t="s">
        <v>1890</v>
      </c>
      <c r="C327" t="s">
        <v>402</v>
      </c>
      <c r="D327" t="s">
        <v>1138</v>
      </c>
      <c r="E327">
        <v>0</v>
      </c>
      <c r="F327" t="s">
        <v>1197</v>
      </c>
      <c r="G327" t="s">
        <v>1888</v>
      </c>
      <c r="H327" t="s">
        <v>1857</v>
      </c>
      <c r="I327" t="s">
        <v>1205</v>
      </c>
      <c r="J327" t="s">
        <v>1187</v>
      </c>
      <c r="K327" t="b">
        <v>1</v>
      </c>
      <c r="L327" t="b">
        <v>0</v>
      </c>
      <c r="M327" t="s">
        <v>1187</v>
      </c>
      <c r="N327" t="s">
        <v>1200</v>
      </c>
      <c r="O327" t="s">
        <v>1190</v>
      </c>
      <c r="P327" t="s">
        <v>1201</v>
      </c>
      <c r="Q327" t="s">
        <v>1891</v>
      </c>
    </row>
    <row r="328" spans="1:17" x14ac:dyDescent="0.25">
      <c r="A328" t="s">
        <v>39</v>
      </c>
      <c r="B328" t="s">
        <v>1892</v>
      </c>
      <c r="C328" t="s">
        <v>402</v>
      </c>
      <c r="D328" t="s">
        <v>1139</v>
      </c>
      <c r="E328">
        <v>-190.4</v>
      </c>
      <c r="F328" t="s">
        <v>1197</v>
      </c>
      <c r="G328" t="s">
        <v>1893</v>
      </c>
      <c r="H328" t="s">
        <v>1857</v>
      </c>
      <c r="I328" t="s">
        <v>1208</v>
      </c>
      <c r="J328" t="s">
        <v>1187</v>
      </c>
      <c r="K328" t="b">
        <v>1</v>
      </c>
      <c r="L328" t="b">
        <v>0</v>
      </c>
      <c r="M328" t="s">
        <v>1187</v>
      </c>
      <c r="N328" t="s">
        <v>1200</v>
      </c>
      <c r="O328" t="s">
        <v>1190</v>
      </c>
      <c r="P328" t="s">
        <v>1201</v>
      </c>
      <c r="Q328" t="s">
        <v>1894</v>
      </c>
    </row>
    <row r="329" spans="1:17" x14ac:dyDescent="0.25">
      <c r="A329" t="s">
        <v>39</v>
      </c>
      <c r="B329" t="s">
        <v>1895</v>
      </c>
      <c r="C329" t="s">
        <v>402</v>
      </c>
      <c r="D329" t="s">
        <v>1140</v>
      </c>
      <c r="E329">
        <v>-71.6</v>
      </c>
      <c r="F329" t="s">
        <v>1197</v>
      </c>
      <c r="G329" t="s">
        <v>1896</v>
      </c>
      <c r="H329" t="s">
        <v>1857</v>
      </c>
      <c r="I329" t="s">
        <v>1187</v>
      </c>
      <c r="J329" t="s">
        <v>1187</v>
      </c>
      <c r="K329" t="b">
        <v>1</v>
      </c>
      <c r="L329" t="b">
        <v>0</v>
      </c>
      <c r="M329" t="s">
        <v>1187</v>
      </c>
      <c r="N329" t="s">
        <v>1200</v>
      </c>
      <c r="O329" t="s">
        <v>1190</v>
      </c>
      <c r="P329" t="s">
        <v>1201</v>
      </c>
      <c r="Q329" t="s">
        <v>1897</v>
      </c>
    </row>
    <row r="330" spans="1:17" x14ac:dyDescent="0.25">
      <c r="A330" t="s">
        <v>39</v>
      </c>
      <c r="B330" t="s">
        <v>1898</v>
      </c>
      <c r="C330" t="s">
        <v>402</v>
      </c>
      <c r="D330" t="s">
        <v>1141</v>
      </c>
      <c r="E330">
        <v>0</v>
      </c>
      <c r="F330" t="s">
        <v>1197</v>
      </c>
      <c r="G330" t="s">
        <v>1888</v>
      </c>
      <c r="H330" t="s">
        <v>1857</v>
      </c>
      <c r="I330" t="s">
        <v>1214</v>
      </c>
      <c r="J330" t="s">
        <v>1187</v>
      </c>
      <c r="K330" t="b">
        <v>1</v>
      </c>
      <c r="L330" t="b">
        <v>0</v>
      </c>
      <c r="M330" t="s">
        <v>1187</v>
      </c>
      <c r="N330" t="s">
        <v>1200</v>
      </c>
      <c r="O330" t="s">
        <v>1190</v>
      </c>
      <c r="P330" t="s">
        <v>1201</v>
      </c>
      <c r="Q330" t="s">
        <v>1889</v>
      </c>
    </row>
    <row r="331" spans="1:17" x14ac:dyDescent="0.25">
      <c r="A331" t="s">
        <v>39</v>
      </c>
      <c r="B331" t="s">
        <v>1899</v>
      </c>
      <c r="C331" t="s">
        <v>402</v>
      </c>
      <c r="D331" t="s">
        <v>1142</v>
      </c>
      <c r="E331">
        <v>-168</v>
      </c>
      <c r="F331" t="s">
        <v>1197</v>
      </c>
      <c r="G331" t="s">
        <v>1900</v>
      </c>
      <c r="H331" t="s">
        <v>1857</v>
      </c>
      <c r="I331" t="s">
        <v>1217</v>
      </c>
      <c r="J331" t="s">
        <v>1187</v>
      </c>
      <c r="K331" t="b">
        <v>1</v>
      </c>
      <c r="L331" t="b">
        <v>0</v>
      </c>
      <c r="M331" t="s">
        <v>1187</v>
      </c>
      <c r="N331" t="s">
        <v>1200</v>
      </c>
      <c r="O331" t="s">
        <v>1190</v>
      </c>
      <c r="P331" t="s">
        <v>1201</v>
      </c>
      <c r="Q331" t="s">
        <v>1901</v>
      </c>
    </row>
    <row r="332" spans="1:17" x14ac:dyDescent="0.25">
      <c r="A332" t="s">
        <v>39</v>
      </c>
      <c r="B332" t="s">
        <v>1902</v>
      </c>
      <c r="C332" t="s">
        <v>402</v>
      </c>
      <c r="D332" t="s">
        <v>1143</v>
      </c>
      <c r="E332">
        <v>-153</v>
      </c>
      <c r="F332" t="s">
        <v>1197</v>
      </c>
      <c r="G332" t="s">
        <v>1903</v>
      </c>
      <c r="H332" t="s">
        <v>1857</v>
      </c>
      <c r="I332" t="s">
        <v>1220</v>
      </c>
      <c r="J332" t="s">
        <v>1187</v>
      </c>
      <c r="K332" t="b">
        <v>1</v>
      </c>
      <c r="L332" t="b">
        <v>0</v>
      </c>
      <c r="M332" t="s">
        <v>1187</v>
      </c>
      <c r="N332" t="s">
        <v>1200</v>
      </c>
      <c r="O332" t="s">
        <v>1190</v>
      </c>
      <c r="P332" t="s">
        <v>1201</v>
      </c>
      <c r="Q332" t="s">
        <v>1904</v>
      </c>
    </row>
    <row r="333" spans="1:17" x14ac:dyDescent="0.25">
      <c r="A333" t="s">
        <v>39</v>
      </c>
      <c r="B333" t="s">
        <v>1905</v>
      </c>
      <c r="C333" t="s">
        <v>402</v>
      </c>
      <c r="D333" t="s">
        <v>1144</v>
      </c>
      <c r="E333">
        <v>-161</v>
      </c>
      <c r="F333" t="s">
        <v>1197</v>
      </c>
      <c r="G333" t="s">
        <v>1906</v>
      </c>
      <c r="H333" t="s">
        <v>1857</v>
      </c>
      <c r="I333" t="s">
        <v>1187</v>
      </c>
      <c r="J333" t="s">
        <v>1187</v>
      </c>
      <c r="K333" t="b">
        <v>1</v>
      </c>
      <c r="L333" t="b">
        <v>0</v>
      </c>
      <c r="M333" t="s">
        <v>1187</v>
      </c>
      <c r="N333" t="s">
        <v>1200</v>
      </c>
      <c r="O333" t="s">
        <v>1190</v>
      </c>
      <c r="P333" t="s">
        <v>1201</v>
      </c>
      <c r="Q333" t="s">
        <v>1907</v>
      </c>
    </row>
    <row r="334" spans="1:17" x14ac:dyDescent="0.25">
      <c r="A334" t="s">
        <v>39</v>
      </c>
      <c r="B334" t="s">
        <v>1908</v>
      </c>
      <c r="C334" t="s">
        <v>402</v>
      </c>
      <c r="D334" t="s">
        <v>1145</v>
      </c>
      <c r="E334">
        <v>-55</v>
      </c>
      <c r="F334" t="s">
        <v>1197</v>
      </c>
      <c r="G334" t="s">
        <v>1909</v>
      </c>
      <c r="H334" t="s">
        <v>1857</v>
      </c>
      <c r="I334" t="s">
        <v>1226</v>
      </c>
      <c r="J334" t="s">
        <v>1187</v>
      </c>
      <c r="K334" t="b">
        <v>1</v>
      </c>
      <c r="L334" t="b">
        <v>0</v>
      </c>
      <c r="M334" t="s">
        <v>1187</v>
      </c>
      <c r="N334" t="s">
        <v>1200</v>
      </c>
      <c r="O334" t="s">
        <v>1190</v>
      </c>
      <c r="P334" t="s">
        <v>1201</v>
      </c>
      <c r="Q334" t="s">
        <v>1889</v>
      </c>
    </row>
    <row r="335" spans="1:17" x14ac:dyDescent="0.25">
      <c r="A335" t="s">
        <v>39</v>
      </c>
      <c r="B335" t="s">
        <v>1910</v>
      </c>
      <c r="C335" t="s">
        <v>402</v>
      </c>
      <c r="D335" t="s">
        <v>1146</v>
      </c>
      <c r="E335">
        <v>-4</v>
      </c>
      <c r="F335" t="s">
        <v>1197</v>
      </c>
      <c r="G335" t="s">
        <v>1911</v>
      </c>
      <c r="H335" t="s">
        <v>1857</v>
      </c>
      <c r="I335" t="s">
        <v>1217</v>
      </c>
      <c r="J335" t="s">
        <v>1187</v>
      </c>
      <c r="K335" t="b">
        <v>1</v>
      </c>
      <c r="L335" t="b">
        <v>0</v>
      </c>
      <c r="M335" t="s">
        <v>1187</v>
      </c>
      <c r="N335" t="s">
        <v>1200</v>
      </c>
      <c r="O335" t="s">
        <v>1190</v>
      </c>
      <c r="P335" t="s">
        <v>1201</v>
      </c>
      <c r="Q335" t="s">
        <v>1912</v>
      </c>
    </row>
    <row r="336" spans="1:17" x14ac:dyDescent="0.25">
      <c r="A336" t="s">
        <v>39</v>
      </c>
      <c r="B336" t="s">
        <v>1913</v>
      </c>
      <c r="C336" t="s">
        <v>402</v>
      </c>
      <c r="D336" t="s">
        <v>1147</v>
      </c>
      <c r="E336">
        <v>-540</v>
      </c>
      <c r="F336" t="s">
        <v>1197</v>
      </c>
      <c r="G336" t="s">
        <v>1914</v>
      </c>
      <c r="H336" t="s">
        <v>1857</v>
      </c>
      <c r="I336" t="s">
        <v>1220</v>
      </c>
      <c r="J336" t="s">
        <v>1187</v>
      </c>
      <c r="K336" t="b">
        <v>1</v>
      </c>
      <c r="L336" t="b">
        <v>0</v>
      </c>
      <c r="M336" t="s">
        <v>1187</v>
      </c>
      <c r="N336" t="s">
        <v>1200</v>
      </c>
      <c r="O336" t="s">
        <v>1190</v>
      </c>
      <c r="P336" t="s">
        <v>1201</v>
      </c>
      <c r="Q336" t="s">
        <v>1915</v>
      </c>
    </row>
    <row r="337" spans="1:17" x14ac:dyDescent="0.25">
      <c r="A337" t="s">
        <v>39</v>
      </c>
      <c r="B337" t="s">
        <v>1916</v>
      </c>
      <c r="C337" t="s">
        <v>402</v>
      </c>
      <c r="D337" t="s">
        <v>1232</v>
      </c>
      <c r="E337">
        <v>-271</v>
      </c>
      <c r="F337" t="s">
        <v>1197</v>
      </c>
      <c r="G337" t="s">
        <v>1917</v>
      </c>
      <c r="H337" t="s">
        <v>1857</v>
      </c>
      <c r="I337" t="s">
        <v>1187</v>
      </c>
      <c r="J337" t="s">
        <v>1187</v>
      </c>
      <c r="K337" t="b">
        <v>1</v>
      </c>
      <c r="L337" t="b">
        <v>0</v>
      </c>
      <c r="M337" t="s">
        <v>1187</v>
      </c>
      <c r="N337" t="s">
        <v>1200</v>
      </c>
      <c r="O337" t="s">
        <v>1190</v>
      </c>
      <c r="P337" t="s">
        <v>1201</v>
      </c>
      <c r="Q337" t="s">
        <v>1918</v>
      </c>
    </row>
    <row r="338" spans="1:17" x14ac:dyDescent="0.25">
      <c r="A338" t="s">
        <v>39</v>
      </c>
      <c r="B338" t="s">
        <v>1919</v>
      </c>
      <c r="C338" t="s">
        <v>406</v>
      </c>
      <c r="D338" t="s">
        <v>1137</v>
      </c>
      <c r="E338">
        <v>11.6</v>
      </c>
      <c r="F338" t="s">
        <v>1197</v>
      </c>
      <c r="G338" t="s">
        <v>1920</v>
      </c>
      <c r="H338" t="s">
        <v>1857</v>
      </c>
      <c r="I338" t="s">
        <v>1199</v>
      </c>
      <c r="J338" t="s">
        <v>1187</v>
      </c>
      <c r="K338" t="b">
        <v>1</v>
      </c>
      <c r="L338" t="b">
        <v>0</v>
      </c>
      <c r="M338" t="s">
        <v>1187</v>
      </c>
      <c r="N338" t="s">
        <v>1291</v>
      </c>
      <c r="O338" t="s">
        <v>1190</v>
      </c>
      <c r="P338" t="s">
        <v>1201</v>
      </c>
      <c r="Q338" t="s">
        <v>1187</v>
      </c>
    </row>
    <row r="339" spans="1:17" x14ac:dyDescent="0.25">
      <c r="A339" t="s">
        <v>39</v>
      </c>
      <c r="B339" t="s">
        <v>1921</v>
      </c>
      <c r="C339" t="s">
        <v>406</v>
      </c>
      <c r="D339" t="s">
        <v>1138</v>
      </c>
      <c r="E339">
        <v>9.8</v>
      </c>
      <c r="F339" t="s">
        <v>1197</v>
      </c>
      <c r="G339" t="s">
        <v>1922</v>
      </c>
      <c r="H339" t="s">
        <v>1857</v>
      </c>
      <c r="I339" t="s">
        <v>1205</v>
      </c>
      <c r="J339" t="s">
        <v>1187</v>
      </c>
      <c r="K339" t="b">
        <v>1</v>
      </c>
      <c r="L339" t="b">
        <v>0</v>
      </c>
      <c r="M339" t="s">
        <v>1187</v>
      </c>
      <c r="N339" t="s">
        <v>1291</v>
      </c>
      <c r="O339" t="s">
        <v>1190</v>
      </c>
      <c r="P339" t="s">
        <v>1201</v>
      </c>
      <c r="Q339" t="s">
        <v>1923</v>
      </c>
    </row>
    <row r="340" spans="1:17" x14ac:dyDescent="0.25">
      <c r="A340" t="s">
        <v>39</v>
      </c>
      <c r="B340" t="s">
        <v>1924</v>
      </c>
      <c r="C340" t="s">
        <v>406</v>
      </c>
      <c r="D340" t="s">
        <v>1139</v>
      </c>
      <c r="E340">
        <v>10.3</v>
      </c>
      <c r="F340" t="s">
        <v>1197</v>
      </c>
      <c r="G340" t="s">
        <v>1925</v>
      </c>
      <c r="H340" t="s">
        <v>1857</v>
      </c>
      <c r="I340" t="s">
        <v>1208</v>
      </c>
      <c r="J340" t="s">
        <v>1187</v>
      </c>
      <c r="K340" t="b">
        <v>1</v>
      </c>
      <c r="L340" t="b">
        <v>0</v>
      </c>
      <c r="M340" t="s">
        <v>1187</v>
      </c>
      <c r="N340" t="s">
        <v>1291</v>
      </c>
      <c r="O340" t="s">
        <v>1190</v>
      </c>
      <c r="P340" t="s">
        <v>1201</v>
      </c>
      <c r="Q340" t="s">
        <v>1926</v>
      </c>
    </row>
    <row r="341" spans="1:17" x14ac:dyDescent="0.25">
      <c r="A341" t="s">
        <v>39</v>
      </c>
      <c r="B341" t="s">
        <v>1927</v>
      </c>
      <c r="C341" t="s">
        <v>406</v>
      </c>
      <c r="D341" t="s">
        <v>1140</v>
      </c>
      <c r="E341">
        <v>9.3</v>
      </c>
      <c r="F341" t="s">
        <v>1197</v>
      </c>
      <c r="G341" t="s">
        <v>1928</v>
      </c>
      <c r="H341" t="s">
        <v>1857</v>
      </c>
      <c r="I341" t="s">
        <v>1187</v>
      </c>
      <c r="J341" t="s">
        <v>1187</v>
      </c>
      <c r="K341" t="b">
        <v>1</v>
      </c>
      <c r="L341" t="b">
        <v>0</v>
      </c>
      <c r="M341" t="s">
        <v>1187</v>
      </c>
      <c r="N341" t="s">
        <v>1291</v>
      </c>
      <c r="O341" t="s">
        <v>1190</v>
      </c>
      <c r="P341" t="s">
        <v>1201</v>
      </c>
      <c r="Q341" t="s">
        <v>1929</v>
      </c>
    </row>
    <row r="342" spans="1:17" x14ac:dyDescent="0.25">
      <c r="A342" t="s">
        <v>39</v>
      </c>
      <c r="B342" t="s">
        <v>1930</v>
      </c>
      <c r="C342" t="s">
        <v>406</v>
      </c>
      <c r="D342" t="s">
        <v>1141</v>
      </c>
      <c r="E342">
        <v>11</v>
      </c>
      <c r="F342" t="s">
        <v>1197</v>
      </c>
      <c r="G342" t="s">
        <v>1931</v>
      </c>
      <c r="H342" t="s">
        <v>1857</v>
      </c>
      <c r="I342" t="s">
        <v>1214</v>
      </c>
      <c r="J342" t="s">
        <v>1187</v>
      </c>
      <c r="K342" t="b">
        <v>1</v>
      </c>
      <c r="L342" t="b">
        <v>0</v>
      </c>
      <c r="M342" t="s">
        <v>1187</v>
      </c>
      <c r="N342" t="s">
        <v>1291</v>
      </c>
      <c r="O342" t="s">
        <v>1190</v>
      </c>
      <c r="P342" t="s">
        <v>1201</v>
      </c>
      <c r="Q342" t="s">
        <v>1187</v>
      </c>
    </row>
    <row r="343" spans="1:17" x14ac:dyDescent="0.25">
      <c r="A343" t="s">
        <v>39</v>
      </c>
      <c r="B343" t="s">
        <v>1932</v>
      </c>
      <c r="C343" t="s">
        <v>406</v>
      </c>
      <c r="D343" t="s">
        <v>1142</v>
      </c>
      <c r="E343">
        <v>11</v>
      </c>
      <c r="F343" t="s">
        <v>1197</v>
      </c>
      <c r="G343" t="s">
        <v>1931</v>
      </c>
      <c r="H343" t="s">
        <v>1857</v>
      </c>
      <c r="I343" t="s">
        <v>1217</v>
      </c>
      <c r="J343" t="s">
        <v>1187</v>
      </c>
      <c r="K343" t="b">
        <v>1</v>
      </c>
      <c r="L343" t="b">
        <v>0</v>
      </c>
      <c r="M343" t="s">
        <v>1187</v>
      </c>
      <c r="N343" t="s">
        <v>1291</v>
      </c>
      <c r="O343" t="s">
        <v>1190</v>
      </c>
      <c r="P343" t="s">
        <v>1201</v>
      </c>
      <c r="Q343" t="s">
        <v>1933</v>
      </c>
    </row>
    <row r="344" spans="1:17" x14ac:dyDescent="0.25">
      <c r="A344" t="s">
        <v>39</v>
      </c>
      <c r="B344" t="s">
        <v>1934</v>
      </c>
      <c r="C344" t="s">
        <v>406</v>
      </c>
      <c r="D344" t="s">
        <v>1143</v>
      </c>
      <c r="E344">
        <v>9</v>
      </c>
      <c r="F344" t="s">
        <v>1197</v>
      </c>
      <c r="G344" t="s">
        <v>1935</v>
      </c>
      <c r="H344" t="s">
        <v>1857</v>
      </c>
      <c r="I344" t="s">
        <v>1220</v>
      </c>
      <c r="J344" t="s">
        <v>1187</v>
      </c>
      <c r="K344" t="b">
        <v>1</v>
      </c>
      <c r="L344" t="b">
        <v>0</v>
      </c>
      <c r="M344" t="s">
        <v>1187</v>
      </c>
      <c r="N344" t="s">
        <v>1291</v>
      </c>
      <c r="O344" t="s">
        <v>1190</v>
      </c>
      <c r="P344" t="s">
        <v>1201</v>
      </c>
      <c r="Q344" t="s">
        <v>1936</v>
      </c>
    </row>
    <row r="345" spans="1:17" x14ac:dyDescent="0.25">
      <c r="A345" t="s">
        <v>39</v>
      </c>
      <c r="B345" t="s">
        <v>1937</v>
      </c>
      <c r="C345" t="s">
        <v>406</v>
      </c>
      <c r="D345" t="s">
        <v>1144</v>
      </c>
      <c r="E345">
        <v>11</v>
      </c>
      <c r="F345" t="s">
        <v>1197</v>
      </c>
      <c r="G345" t="s">
        <v>1931</v>
      </c>
      <c r="H345" t="s">
        <v>1857</v>
      </c>
      <c r="I345" t="s">
        <v>1187</v>
      </c>
      <c r="J345" t="s">
        <v>1187</v>
      </c>
      <c r="K345" t="b">
        <v>1</v>
      </c>
      <c r="L345" t="b">
        <v>0</v>
      </c>
      <c r="M345" t="s">
        <v>1187</v>
      </c>
      <c r="N345" t="s">
        <v>1291</v>
      </c>
      <c r="O345" t="s">
        <v>1190</v>
      </c>
      <c r="P345" t="s">
        <v>1201</v>
      </c>
      <c r="Q345" t="s">
        <v>1938</v>
      </c>
    </row>
    <row r="346" spans="1:17" x14ac:dyDescent="0.25">
      <c r="A346" t="s">
        <v>39</v>
      </c>
      <c r="B346" t="s">
        <v>1939</v>
      </c>
      <c r="C346" t="s">
        <v>406</v>
      </c>
      <c r="D346" t="s">
        <v>1145</v>
      </c>
      <c r="E346">
        <v>13</v>
      </c>
      <c r="F346" t="s">
        <v>1197</v>
      </c>
      <c r="G346" t="s">
        <v>1940</v>
      </c>
      <c r="H346" t="s">
        <v>1857</v>
      </c>
      <c r="I346" t="s">
        <v>1214</v>
      </c>
      <c r="J346" t="s">
        <v>1187</v>
      </c>
      <c r="K346" t="b">
        <v>1</v>
      </c>
      <c r="L346" t="b">
        <v>0</v>
      </c>
      <c r="M346" t="s">
        <v>1187</v>
      </c>
      <c r="N346" t="s">
        <v>1291</v>
      </c>
      <c r="O346" t="s">
        <v>1190</v>
      </c>
      <c r="P346" t="s">
        <v>1201</v>
      </c>
      <c r="Q346" t="s">
        <v>1187</v>
      </c>
    </row>
    <row r="347" spans="1:17" x14ac:dyDescent="0.25">
      <c r="A347" t="s">
        <v>39</v>
      </c>
      <c r="B347" t="s">
        <v>1941</v>
      </c>
      <c r="C347" t="s">
        <v>406</v>
      </c>
      <c r="D347" t="s">
        <v>1146</v>
      </c>
      <c r="E347">
        <v>10</v>
      </c>
      <c r="F347" t="s">
        <v>1197</v>
      </c>
      <c r="G347" t="s">
        <v>1942</v>
      </c>
      <c r="H347" t="s">
        <v>1857</v>
      </c>
      <c r="I347" t="s">
        <v>1217</v>
      </c>
      <c r="J347" t="s">
        <v>1187</v>
      </c>
      <c r="K347" t="b">
        <v>1</v>
      </c>
      <c r="L347" t="b">
        <v>0</v>
      </c>
      <c r="M347" t="s">
        <v>1187</v>
      </c>
      <c r="N347" t="s">
        <v>1291</v>
      </c>
      <c r="O347" t="s">
        <v>1190</v>
      </c>
      <c r="P347" t="s">
        <v>1201</v>
      </c>
      <c r="Q347" t="s">
        <v>1943</v>
      </c>
    </row>
    <row r="348" spans="1:17" x14ac:dyDescent="0.25">
      <c r="A348" t="s">
        <v>39</v>
      </c>
      <c r="B348" t="s">
        <v>1944</v>
      </c>
      <c r="C348" t="s">
        <v>406</v>
      </c>
      <c r="D348" t="s">
        <v>1147</v>
      </c>
      <c r="E348">
        <v>10</v>
      </c>
      <c r="F348" t="s">
        <v>1197</v>
      </c>
      <c r="G348" t="s">
        <v>1942</v>
      </c>
      <c r="H348" t="s">
        <v>1857</v>
      </c>
      <c r="I348" t="s">
        <v>1220</v>
      </c>
      <c r="J348" t="s">
        <v>1187</v>
      </c>
      <c r="K348" t="b">
        <v>1</v>
      </c>
      <c r="L348" t="b">
        <v>0</v>
      </c>
      <c r="M348" t="s">
        <v>1187</v>
      </c>
      <c r="N348" t="s">
        <v>1291</v>
      </c>
      <c r="O348" t="s">
        <v>1190</v>
      </c>
      <c r="P348" t="s">
        <v>1201</v>
      </c>
      <c r="Q348" t="s">
        <v>1945</v>
      </c>
    </row>
    <row r="349" spans="1:17" x14ac:dyDescent="0.25">
      <c r="A349" t="s">
        <v>39</v>
      </c>
      <c r="B349" t="s">
        <v>1946</v>
      </c>
      <c r="C349" t="s">
        <v>404</v>
      </c>
      <c r="D349" t="s">
        <v>1137</v>
      </c>
      <c r="E349">
        <v>0</v>
      </c>
      <c r="F349" t="s">
        <v>1947</v>
      </c>
      <c r="G349" t="s">
        <v>1187</v>
      </c>
      <c r="H349" t="s">
        <v>1857</v>
      </c>
      <c r="I349" t="s">
        <v>1187</v>
      </c>
      <c r="J349" t="s">
        <v>1187</v>
      </c>
      <c r="K349" t="b">
        <v>0</v>
      </c>
      <c r="L349" t="b">
        <v>1</v>
      </c>
      <c r="M349" t="s">
        <v>1948</v>
      </c>
      <c r="N349" t="s">
        <v>1189</v>
      </c>
      <c r="O349" t="s">
        <v>1949</v>
      </c>
      <c r="P349" t="s">
        <v>1950</v>
      </c>
      <c r="Q349" t="s">
        <v>1951</v>
      </c>
    </row>
    <row r="350" spans="1:17" x14ac:dyDescent="0.25">
      <c r="A350" t="s">
        <v>39</v>
      </c>
      <c r="B350" t="s">
        <v>1952</v>
      </c>
      <c r="C350" t="s">
        <v>404</v>
      </c>
      <c r="D350" t="s">
        <v>1138</v>
      </c>
      <c r="E350">
        <v>0</v>
      </c>
      <c r="F350" t="s">
        <v>1947</v>
      </c>
      <c r="G350" t="s">
        <v>1187</v>
      </c>
      <c r="H350" t="s">
        <v>1857</v>
      </c>
      <c r="I350" t="s">
        <v>1187</v>
      </c>
      <c r="J350" t="s">
        <v>1187</v>
      </c>
      <c r="K350" t="b">
        <v>0</v>
      </c>
      <c r="L350" t="b">
        <v>1</v>
      </c>
      <c r="M350" t="s">
        <v>1948</v>
      </c>
      <c r="N350" t="s">
        <v>1189</v>
      </c>
      <c r="O350" t="s">
        <v>1949</v>
      </c>
      <c r="P350" t="s">
        <v>1950</v>
      </c>
      <c r="Q350" t="s">
        <v>1951</v>
      </c>
    </row>
    <row r="351" spans="1:17" x14ac:dyDescent="0.25">
      <c r="A351" t="s">
        <v>39</v>
      </c>
      <c r="B351" t="s">
        <v>1953</v>
      </c>
      <c r="C351" t="s">
        <v>404</v>
      </c>
      <c r="D351" t="s">
        <v>1139</v>
      </c>
      <c r="E351">
        <v>0</v>
      </c>
      <c r="F351" t="s">
        <v>1947</v>
      </c>
      <c r="G351" t="s">
        <v>1187</v>
      </c>
      <c r="H351" t="s">
        <v>1857</v>
      </c>
      <c r="I351" t="s">
        <v>1187</v>
      </c>
      <c r="J351" t="s">
        <v>1187</v>
      </c>
      <c r="K351" t="b">
        <v>0</v>
      </c>
      <c r="L351" t="b">
        <v>1</v>
      </c>
      <c r="M351" t="s">
        <v>1948</v>
      </c>
      <c r="N351" t="s">
        <v>1189</v>
      </c>
      <c r="O351" t="s">
        <v>1949</v>
      </c>
      <c r="P351" t="s">
        <v>1950</v>
      </c>
      <c r="Q351" t="s">
        <v>1951</v>
      </c>
    </row>
    <row r="352" spans="1:17" x14ac:dyDescent="0.25">
      <c r="A352" t="s">
        <v>39</v>
      </c>
      <c r="B352" t="s">
        <v>1954</v>
      </c>
      <c r="C352" t="s">
        <v>404</v>
      </c>
      <c r="D352" t="s">
        <v>1140</v>
      </c>
      <c r="E352">
        <v>0</v>
      </c>
      <c r="F352" t="s">
        <v>1947</v>
      </c>
      <c r="G352" t="s">
        <v>1187</v>
      </c>
      <c r="H352" t="s">
        <v>1857</v>
      </c>
      <c r="I352" t="s">
        <v>1187</v>
      </c>
      <c r="J352" t="s">
        <v>1187</v>
      </c>
      <c r="K352" t="b">
        <v>0</v>
      </c>
      <c r="L352" t="b">
        <v>1</v>
      </c>
      <c r="M352" t="s">
        <v>1948</v>
      </c>
      <c r="N352" t="s">
        <v>1189</v>
      </c>
      <c r="O352" t="s">
        <v>1949</v>
      </c>
      <c r="P352" t="s">
        <v>1950</v>
      </c>
      <c r="Q352" t="s">
        <v>1951</v>
      </c>
    </row>
    <row r="353" spans="1:17" x14ac:dyDescent="0.25">
      <c r="A353" t="s">
        <v>39</v>
      </c>
      <c r="B353" t="s">
        <v>1955</v>
      </c>
      <c r="C353" t="s">
        <v>404</v>
      </c>
      <c r="D353" t="s">
        <v>1141</v>
      </c>
      <c r="E353">
        <v>0</v>
      </c>
      <c r="F353" t="s">
        <v>1947</v>
      </c>
      <c r="G353" t="s">
        <v>1187</v>
      </c>
      <c r="H353" t="s">
        <v>1857</v>
      </c>
      <c r="I353" t="s">
        <v>1187</v>
      </c>
      <c r="J353" t="s">
        <v>1187</v>
      </c>
      <c r="K353" t="b">
        <v>0</v>
      </c>
      <c r="L353" t="b">
        <v>1</v>
      </c>
      <c r="M353" t="s">
        <v>1948</v>
      </c>
      <c r="N353" t="s">
        <v>1189</v>
      </c>
      <c r="O353" t="s">
        <v>1949</v>
      </c>
      <c r="P353" t="s">
        <v>1950</v>
      </c>
      <c r="Q353" t="s">
        <v>1951</v>
      </c>
    </row>
    <row r="354" spans="1:17" x14ac:dyDescent="0.25">
      <c r="A354" t="s">
        <v>39</v>
      </c>
      <c r="B354" t="s">
        <v>1956</v>
      </c>
      <c r="C354" t="s">
        <v>404</v>
      </c>
      <c r="D354" t="s">
        <v>1142</v>
      </c>
      <c r="E354">
        <v>0</v>
      </c>
      <c r="F354" t="s">
        <v>1947</v>
      </c>
      <c r="G354" t="s">
        <v>1187</v>
      </c>
      <c r="H354" t="s">
        <v>1857</v>
      </c>
      <c r="I354" t="s">
        <v>1187</v>
      </c>
      <c r="J354" t="s">
        <v>1187</v>
      </c>
      <c r="K354" t="b">
        <v>0</v>
      </c>
      <c r="L354" t="b">
        <v>1</v>
      </c>
      <c r="M354" t="s">
        <v>1948</v>
      </c>
      <c r="N354" t="s">
        <v>1189</v>
      </c>
      <c r="O354" t="s">
        <v>1949</v>
      </c>
      <c r="P354" t="s">
        <v>1950</v>
      </c>
      <c r="Q354" t="s">
        <v>1951</v>
      </c>
    </row>
    <row r="355" spans="1:17" x14ac:dyDescent="0.25">
      <c r="A355" t="s">
        <v>39</v>
      </c>
      <c r="B355" t="s">
        <v>1957</v>
      </c>
      <c r="C355" t="s">
        <v>404</v>
      </c>
      <c r="D355" t="s">
        <v>1143</v>
      </c>
      <c r="E355">
        <v>0</v>
      </c>
      <c r="F355" t="s">
        <v>1947</v>
      </c>
      <c r="G355" t="s">
        <v>1187</v>
      </c>
      <c r="H355" t="s">
        <v>1857</v>
      </c>
      <c r="I355" t="s">
        <v>1187</v>
      </c>
      <c r="J355" t="s">
        <v>1187</v>
      </c>
      <c r="K355" t="b">
        <v>0</v>
      </c>
      <c r="L355" t="b">
        <v>1</v>
      </c>
      <c r="M355" t="s">
        <v>1948</v>
      </c>
      <c r="N355" t="s">
        <v>1189</v>
      </c>
      <c r="O355" t="s">
        <v>1949</v>
      </c>
      <c r="P355" t="s">
        <v>1950</v>
      </c>
      <c r="Q355" t="s">
        <v>1951</v>
      </c>
    </row>
    <row r="356" spans="1:17" x14ac:dyDescent="0.25">
      <c r="A356" t="s">
        <v>39</v>
      </c>
      <c r="B356" t="s">
        <v>1958</v>
      </c>
      <c r="C356" t="s">
        <v>404</v>
      </c>
      <c r="D356" t="s">
        <v>1144</v>
      </c>
      <c r="E356">
        <v>0</v>
      </c>
      <c r="F356" t="s">
        <v>1947</v>
      </c>
      <c r="G356" t="s">
        <v>1187</v>
      </c>
      <c r="H356" t="s">
        <v>1857</v>
      </c>
      <c r="I356" t="s">
        <v>1187</v>
      </c>
      <c r="J356" t="s">
        <v>1187</v>
      </c>
      <c r="K356" t="b">
        <v>0</v>
      </c>
      <c r="L356" t="b">
        <v>1</v>
      </c>
      <c r="M356" t="s">
        <v>1948</v>
      </c>
      <c r="N356" t="s">
        <v>1189</v>
      </c>
      <c r="O356" t="s">
        <v>1949</v>
      </c>
      <c r="P356" t="s">
        <v>1950</v>
      </c>
      <c r="Q356" t="s">
        <v>1951</v>
      </c>
    </row>
    <row r="357" spans="1:17" x14ac:dyDescent="0.25">
      <c r="A357" t="s">
        <v>39</v>
      </c>
      <c r="B357" t="s">
        <v>1959</v>
      </c>
      <c r="C357" t="s">
        <v>404</v>
      </c>
      <c r="D357" t="s">
        <v>1145</v>
      </c>
      <c r="E357">
        <v>0</v>
      </c>
      <c r="F357" t="s">
        <v>1947</v>
      </c>
      <c r="G357" t="s">
        <v>1187</v>
      </c>
      <c r="H357" t="s">
        <v>1857</v>
      </c>
      <c r="I357" t="s">
        <v>1187</v>
      </c>
      <c r="J357" t="s">
        <v>1187</v>
      </c>
      <c r="K357" t="b">
        <v>0</v>
      </c>
      <c r="L357" t="b">
        <v>1</v>
      </c>
      <c r="M357" t="s">
        <v>1948</v>
      </c>
      <c r="N357" t="s">
        <v>1189</v>
      </c>
      <c r="O357" t="s">
        <v>1949</v>
      </c>
      <c r="P357" t="s">
        <v>1950</v>
      </c>
      <c r="Q357" t="s">
        <v>1951</v>
      </c>
    </row>
    <row r="358" spans="1:17" x14ac:dyDescent="0.25">
      <c r="A358" t="s">
        <v>39</v>
      </c>
      <c r="B358" t="s">
        <v>1960</v>
      </c>
      <c r="C358" t="s">
        <v>404</v>
      </c>
      <c r="D358" t="s">
        <v>1146</v>
      </c>
      <c r="E358">
        <v>0</v>
      </c>
      <c r="F358" t="s">
        <v>1947</v>
      </c>
      <c r="G358" t="s">
        <v>1187</v>
      </c>
      <c r="H358" t="s">
        <v>1857</v>
      </c>
      <c r="I358" t="s">
        <v>1187</v>
      </c>
      <c r="J358" t="s">
        <v>1187</v>
      </c>
      <c r="K358" t="b">
        <v>0</v>
      </c>
      <c r="L358" t="b">
        <v>1</v>
      </c>
      <c r="M358" t="s">
        <v>1948</v>
      </c>
      <c r="N358" t="s">
        <v>1189</v>
      </c>
      <c r="O358" t="s">
        <v>1949</v>
      </c>
      <c r="P358" t="s">
        <v>1950</v>
      </c>
      <c r="Q358" t="s">
        <v>1951</v>
      </c>
    </row>
    <row r="359" spans="1:17" x14ac:dyDescent="0.25">
      <c r="A359" t="s">
        <v>39</v>
      </c>
      <c r="B359" t="s">
        <v>1961</v>
      </c>
      <c r="C359" t="s">
        <v>404</v>
      </c>
      <c r="D359" t="s">
        <v>1147</v>
      </c>
      <c r="E359">
        <v>0</v>
      </c>
      <c r="F359" t="s">
        <v>1947</v>
      </c>
      <c r="G359" t="s">
        <v>1187</v>
      </c>
      <c r="H359" t="s">
        <v>1857</v>
      </c>
      <c r="I359" t="s">
        <v>1187</v>
      </c>
      <c r="J359" t="s">
        <v>1187</v>
      </c>
      <c r="K359" t="b">
        <v>0</v>
      </c>
      <c r="L359" t="b">
        <v>1</v>
      </c>
      <c r="M359" t="s">
        <v>1948</v>
      </c>
      <c r="N359" t="s">
        <v>1189</v>
      </c>
      <c r="O359" t="s">
        <v>1949</v>
      </c>
      <c r="P359" t="s">
        <v>1950</v>
      </c>
      <c r="Q359" t="s">
        <v>1951</v>
      </c>
    </row>
    <row r="360" spans="1:17" x14ac:dyDescent="0.25">
      <c r="A360" t="s">
        <v>39</v>
      </c>
      <c r="B360" t="s">
        <v>1962</v>
      </c>
      <c r="C360" t="s">
        <v>404</v>
      </c>
      <c r="D360" t="s">
        <v>1232</v>
      </c>
      <c r="E360">
        <v>0</v>
      </c>
      <c r="F360" t="s">
        <v>1947</v>
      </c>
      <c r="G360" t="s">
        <v>1187</v>
      </c>
      <c r="H360" t="s">
        <v>1857</v>
      </c>
      <c r="I360" t="s">
        <v>1187</v>
      </c>
      <c r="J360" t="s">
        <v>1187</v>
      </c>
      <c r="K360" t="b">
        <v>0</v>
      </c>
      <c r="L360" t="b">
        <v>1</v>
      </c>
      <c r="M360" t="s">
        <v>1948</v>
      </c>
      <c r="N360" t="s">
        <v>1189</v>
      </c>
      <c r="O360" t="s">
        <v>1949</v>
      </c>
      <c r="P360" t="s">
        <v>1950</v>
      </c>
      <c r="Q360" t="s">
        <v>1951</v>
      </c>
    </row>
    <row r="361" spans="1:17" x14ac:dyDescent="0.25">
      <c r="A361" t="s">
        <v>39</v>
      </c>
      <c r="B361" t="s">
        <v>1963</v>
      </c>
      <c r="C361" t="s">
        <v>409</v>
      </c>
      <c r="D361" t="s">
        <v>1137</v>
      </c>
      <c r="E361">
        <v>-156.4</v>
      </c>
      <c r="F361" t="s">
        <v>1197</v>
      </c>
      <c r="G361" t="s">
        <v>1964</v>
      </c>
      <c r="H361" t="s">
        <v>1857</v>
      </c>
      <c r="I361" t="s">
        <v>1199</v>
      </c>
      <c r="J361" t="s">
        <v>1187</v>
      </c>
      <c r="K361" t="b">
        <v>1</v>
      </c>
      <c r="L361" t="b">
        <v>0</v>
      </c>
      <c r="M361" t="s">
        <v>1187</v>
      </c>
      <c r="N361" t="s">
        <v>1200</v>
      </c>
      <c r="O361" t="s">
        <v>1190</v>
      </c>
      <c r="P361" t="s">
        <v>1201</v>
      </c>
      <c r="Q361" t="s">
        <v>1187</v>
      </c>
    </row>
    <row r="362" spans="1:17" x14ac:dyDescent="0.25">
      <c r="A362" t="s">
        <v>39</v>
      </c>
      <c r="B362" t="s">
        <v>1965</v>
      </c>
      <c r="C362" t="s">
        <v>409</v>
      </c>
      <c r="D362" t="s">
        <v>1138</v>
      </c>
      <c r="E362">
        <v>-156.6</v>
      </c>
      <c r="F362" t="s">
        <v>1197</v>
      </c>
      <c r="G362" t="s">
        <v>1966</v>
      </c>
      <c r="H362" t="s">
        <v>1857</v>
      </c>
      <c r="I362" t="s">
        <v>1205</v>
      </c>
      <c r="J362" t="s">
        <v>1187</v>
      </c>
      <c r="K362" t="b">
        <v>1</v>
      </c>
      <c r="L362" t="b">
        <v>0</v>
      </c>
      <c r="M362" t="s">
        <v>1187</v>
      </c>
      <c r="N362" t="s">
        <v>1200</v>
      </c>
      <c r="O362" t="s">
        <v>1190</v>
      </c>
      <c r="P362" t="s">
        <v>1201</v>
      </c>
      <c r="Q362" t="s">
        <v>1967</v>
      </c>
    </row>
    <row r="363" spans="1:17" x14ac:dyDescent="0.25">
      <c r="A363" t="s">
        <v>39</v>
      </c>
      <c r="B363" t="s">
        <v>1968</v>
      </c>
      <c r="C363" t="s">
        <v>409</v>
      </c>
      <c r="D363" t="s">
        <v>1139</v>
      </c>
      <c r="E363">
        <v>-156.5</v>
      </c>
      <c r="F363" t="s">
        <v>1197</v>
      </c>
      <c r="G363" t="s">
        <v>1969</v>
      </c>
      <c r="H363" t="s">
        <v>1857</v>
      </c>
      <c r="I363" t="s">
        <v>1208</v>
      </c>
      <c r="J363" t="s">
        <v>1187</v>
      </c>
      <c r="K363" t="b">
        <v>1</v>
      </c>
      <c r="L363" t="b">
        <v>0</v>
      </c>
      <c r="M363" t="s">
        <v>1187</v>
      </c>
      <c r="N363" t="s">
        <v>1200</v>
      </c>
      <c r="O363" t="s">
        <v>1190</v>
      </c>
      <c r="P363" t="s">
        <v>1201</v>
      </c>
      <c r="Q363" t="s">
        <v>1970</v>
      </c>
    </row>
    <row r="364" spans="1:17" x14ac:dyDescent="0.25">
      <c r="A364" t="s">
        <v>39</v>
      </c>
      <c r="B364" t="s">
        <v>1971</v>
      </c>
      <c r="C364" t="s">
        <v>409</v>
      </c>
      <c r="D364" t="s">
        <v>1140</v>
      </c>
      <c r="E364">
        <v>-168.5</v>
      </c>
      <c r="F364" t="s">
        <v>1197</v>
      </c>
      <c r="G364" t="s">
        <v>1972</v>
      </c>
      <c r="H364" t="s">
        <v>1857</v>
      </c>
      <c r="I364" t="s">
        <v>1187</v>
      </c>
      <c r="J364" t="s">
        <v>1187</v>
      </c>
      <c r="K364" t="b">
        <v>1</v>
      </c>
      <c r="L364" t="b">
        <v>0</v>
      </c>
      <c r="M364" t="s">
        <v>1187</v>
      </c>
      <c r="N364" t="s">
        <v>1200</v>
      </c>
      <c r="O364" t="s">
        <v>1190</v>
      </c>
      <c r="P364" t="s">
        <v>1201</v>
      </c>
      <c r="Q364" t="s">
        <v>1973</v>
      </c>
    </row>
    <row r="365" spans="1:17" x14ac:dyDescent="0.25">
      <c r="A365" t="s">
        <v>39</v>
      </c>
      <c r="B365" t="s">
        <v>1974</v>
      </c>
      <c r="C365" t="s">
        <v>409</v>
      </c>
      <c r="D365" t="s">
        <v>1141</v>
      </c>
      <c r="E365">
        <v>-168</v>
      </c>
      <c r="F365" t="s">
        <v>1197</v>
      </c>
      <c r="G365" t="s">
        <v>1975</v>
      </c>
      <c r="H365" t="s">
        <v>1857</v>
      </c>
      <c r="I365" t="s">
        <v>1214</v>
      </c>
      <c r="J365" t="s">
        <v>1187</v>
      </c>
      <c r="K365" t="b">
        <v>1</v>
      </c>
      <c r="L365" t="b">
        <v>0</v>
      </c>
      <c r="M365" t="s">
        <v>1187</v>
      </c>
      <c r="N365" t="s">
        <v>1200</v>
      </c>
      <c r="O365" t="s">
        <v>1190</v>
      </c>
      <c r="P365" t="s">
        <v>1201</v>
      </c>
      <c r="Q365" t="s">
        <v>1187</v>
      </c>
    </row>
    <row r="366" spans="1:17" x14ac:dyDescent="0.25">
      <c r="A366" t="s">
        <v>39</v>
      </c>
      <c r="B366" t="s">
        <v>1976</v>
      </c>
      <c r="C366" t="s">
        <v>409</v>
      </c>
      <c r="D366" t="s">
        <v>1142</v>
      </c>
      <c r="E366">
        <v>-169</v>
      </c>
      <c r="F366" t="s">
        <v>1197</v>
      </c>
      <c r="G366" t="s">
        <v>1977</v>
      </c>
      <c r="H366" t="s">
        <v>1857</v>
      </c>
      <c r="I366" t="s">
        <v>1217</v>
      </c>
      <c r="J366" t="s">
        <v>1187</v>
      </c>
      <c r="K366" t="b">
        <v>1</v>
      </c>
      <c r="L366" t="b">
        <v>0</v>
      </c>
      <c r="M366" t="s">
        <v>1187</v>
      </c>
      <c r="N366" t="s">
        <v>1200</v>
      </c>
      <c r="O366" t="s">
        <v>1190</v>
      </c>
      <c r="P366" t="s">
        <v>1201</v>
      </c>
      <c r="Q366" t="s">
        <v>1978</v>
      </c>
    </row>
    <row r="367" spans="1:17" x14ac:dyDescent="0.25">
      <c r="A367" t="s">
        <v>39</v>
      </c>
      <c r="B367" t="s">
        <v>1979</v>
      </c>
      <c r="C367" t="s">
        <v>409</v>
      </c>
      <c r="D367" t="s">
        <v>1143</v>
      </c>
      <c r="E367">
        <v>-168</v>
      </c>
      <c r="F367" t="s">
        <v>1197</v>
      </c>
      <c r="G367" t="s">
        <v>1975</v>
      </c>
      <c r="H367" t="s">
        <v>1857</v>
      </c>
      <c r="I367" t="s">
        <v>1220</v>
      </c>
      <c r="J367" t="s">
        <v>1187</v>
      </c>
      <c r="K367" t="b">
        <v>1</v>
      </c>
      <c r="L367" t="b">
        <v>0</v>
      </c>
      <c r="M367" t="s">
        <v>1187</v>
      </c>
      <c r="N367" t="s">
        <v>1200</v>
      </c>
      <c r="O367" t="s">
        <v>1190</v>
      </c>
      <c r="P367" t="s">
        <v>1201</v>
      </c>
      <c r="Q367" t="s">
        <v>1980</v>
      </c>
    </row>
    <row r="368" spans="1:17" x14ac:dyDescent="0.25">
      <c r="A368" t="s">
        <v>39</v>
      </c>
      <c r="B368" t="s">
        <v>1981</v>
      </c>
      <c r="C368" t="s">
        <v>409</v>
      </c>
      <c r="D368" t="s">
        <v>1144</v>
      </c>
      <c r="E368">
        <v>-182</v>
      </c>
      <c r="F368" t="s">
        <v>1197</v>
      </c>
      <c r="G368" t="s">
        <v>1982</v>
      </c>
      <c r="H368" t="s">
        <v>1857</v>
      </c>
      <c r="I368" t="s">
        <v>1187</v>
      </c>
      <c r="J368" t="s">
        <v>1187</v>
      </c>
      <c r="K368" t="b">
        <v>1</v>
      </c>
      <c r="L368" t="b">
        <v>0</v>
      </c>
      <c r="M368" t="s">
        <v>1187</v>
      </c>
      <c r="N368" t="s">
        <v>1200</v>
      </c>
      <c r="O368" t="s">
        <v>1190</v>
      </c>
      <c r="P368" t="s">
        <v>1201</v>
      </c>
      <c r="Q368" t="s">
        <v>1983</v>
      </c>
    </row>
    <row r="369" spans="1:17" x14ac:dyDescent="0.25">
      <c r="A369" t="s">
        <v>39</v>
      </c>
      <c r="B369" t="s">
        <v>1984</v>
      </c>
      <c r="C369" t="s">
        <v>409</v>
      </c>
      <c r="D369" t="s">
        <v>1145</v>
      </c>
      <c r="E369">
        <v>-181</v>
      </c>
      <c r="F369" t="s">
        <v>1197</v>
      </c>
      <c r="G369" t="s">
        <v>1985</v>
      </c>
      <c r="H369" t="s">
        <v>1857</v>
      </c>
      <c r="I369" t="s">
        <v>1226</v>
      </c>
      <c r="J369" t="s">
        <v>1187</v>
      </c>
      <c r="K369" t="b">
        <v>1</v>
      </c>
      <c r="L369" t="b">
        <v>0</v>
      </c>
      <c r="M369" t="s">
        <v>1187</v>
      </c>
      <c r="N369" t="s">
        <v>1200</v>
      </c>
      <c r="O369" t="s">
        <v>1190</v>
      </c>
      <c r="P369" t="s">
        <v>1201</v>
      </c>
      <c r="Q369" t="s">
        <v>1187</v>
      </c>
    </row>
    <row r="370" spans="1:17" x14ac:dyDescent="0.25">
      <c r="A370" t="s">
        <v>39</v>
      </c>
      <c r="B370" t="s">
        <v>1986</v>
      </c>
      <c r="C370" t="s">
        <v>409</v>
      </c>
      <c r="D370" t="s">
        <v>1146</v>
      </c>
      <c r="E370">
        <v>-181</v>
      </c>
      <c r="F370" t="s">
        <v>1197</v>
      </c>
      <c r="G370" t="s">
        <v>1985</v>
      </c>
      <c r="H370" t="s">
        <v>1857</v>
      </c>
      <c r="I370" t="s">
        <v>1217</v>
      </c>
      <c r="J370" t="s">
        <v>1187</v>
      </c>
      <c r="K370" t="b">
        <v>1</v>
      </c>
      <c r="L370" t="b">
        <v>0</v>
      </c>
      <c r="M370" t="s">
        <v>1187</v>
      </c>
      <c r="N370" t="s">
        <v>1200</v>
      </c>
      <c r="O370" t="s">
        <v>1190</v>
      </c>
      <c r="P370" t="s">
        <v>1201</v>
      </c>
      <c r="Q370" t="s">
        <v>1987</v>
      </c>
    </row>
    <row r="371" spans="1:17" x14ac:dyDescent="0.25">
      <c r="A371" t="s">
        <v>39</v>
      </c>
      <c r="B371" t="s">
        <v>1988</v>
      </c>
      <c r="C371" t="s">
        <v>409</v>
      </c>
      <c r="D371" t="s">
        <v>1147</v>
      </c>
      <c r="E371">
        <v>-182</v>
      </c>
      <c r="F371" t="s">
        <v>1197</v>
      </c>
      <c r="G371" t="s">
        <v>1982</v>
      </c>
      <c r="H371" t="s">
        <v>1857</v>
      </c>
      <c r="I371" t="s">
        <v>1220</v>
      </c>
      <c r="J371" t="s">
        <v>1187</v>
      </c>
      <c r="K371" t="b">
        <v>1</v>
      </c>
      <c r="L371" t="b">
        <v>0</v>
      </c>
      <c r="M371" t="s">
        <v>1187</v>
      </c>
      <c r="N371" t="s">
        <v>1200</v>
      </c>
      <c r="O371" t="s">
        <v>1190</v>
      </c>
      <c r="P371" t="s">
        <v>1201</v>
      </c>
      <c r="Q371" t="s">
        <v>1989</v>
      </c>
    </row>
    <row r="372" spans="1:17" x14ac:dyDescent="0.25">
      <c r="A372" t="s">
        <v>39</v>
      </c>
      <c r="B372" t="s">
        <v>1990</v>
      </c>
      <c r="C372" t="s">
        <v>409</v>
      </c>
      <c r="D372" t="s">
        <v>1232</v>
      </c>
      <c r="E372">
        <v>-194</v>
      </c>
      <c r="F372" t="s">
        <v>1197</v>
      </c>
      <c r="G372" t="s">
        <v>1991</v>
      </c>
      <c r="H372" t="s">
        <v>1857</v>
      </c>
      <c r="I372" t="s">
        <v>1187</v>
      </c>
      <c r="J372" t="s">
        <v>1187</v>
      </c>
      <c r="K372" t="b">
        <v>1</v>
      </c>
      <c r="L372" t="b">
        <v>0</v>
      </c>
      <c r="M372" t="s">
        <v>1187</v>
      </c>
      <c r="N372" t="s">
        <v>1200</v>
      </c>
      <c r="O372" t="s">
        <v>1190</v>
      </c>
      <c r="P372" t="s">
        <v>1201</v>
      </c>
      <c r="Q372" t="s">
        <v>1992</v>
      </c>
    </row>
    <row r="373" spans="1:17" x14ac:dyDescent="0.25">
      <c r="A373" t="s">
        <v>39</v>
      </c>
      <c r="B373" t="s">
        <v>1993</v>
      </c>
      <c r="C373" t="s">
        <v>404</v>
      </c>
      <c r="D373" t="s">
        <v>1137</v>
      </c>
      <c r="E373">
        <v>0</v>
      </c>
      <c r="F373" t="s">
        <v>1947</v>
      </c>
      <c r="G373" t="s">
        <v>1187</v>
      </c>
      <c r="H373" t="s">
        <v>1857</v>
      </c>
      <c r="I373" t="s">
        <v>1187</v>
      </c>
      <c r="J373" t="s">
        <v>1187</v>
      </c>
      <c r="K373" t="b">
        <v>0</v>
      </c>
      <c r="L373" t="b">
        <v>1</v>
      </c>
      <c r="M373" t="s">
        <v>1948</v>
      </c>
      <c r="N373" t="s">
        <v>1189</v>
      </c>
      <c r="O373" t="s">
        <v>1949</v>
      </c>
      <c r="P373" t="s">
        <v>1950</v>
      </c>
      <c r="Q373" t="s">
        <v>1951</v>
      </c>
    </row>
    <row r="374" spans="1:17" x14ac:dyDescent="0.25">
      <c r="A374" t="s">
        <v>39</v>
      </c>
      <c r="B374" t="s">
        <v>1994</v>
      </c>
      <c r="C374" t="s">
        <v>404</v>
      </c>
      <c r="D374" t="s">
        <v>1138</v>
      </c>
      <c r="E374">
        <v>0</v>
      </c>
      <c r="F374" t="s">
        <v>1947</v>
      </c>
      <c r="G374" t="s">
        <v>1187</v>
      </c>
      <c r="H374" t="s">
        <v>1857</v>
      </c>
      <c r="I374" t="s">
        <v>1187</v>
      </c>
      <c r="J374" t="s">
        <v>1187</v>
      </c>
      <c r="K374" t="b">
        <v>0</v>
      </c>
      <c r="L374" t="b">
        <v>1</v>
      </c>
      <c r="M374" t="s">
        <v>1948</v>
      </c>
      <c r="N374" t="s">
        <v>1189</v>
      </c>
      <c r="O374" t="s">
        <v>1949</v>
      </c>
      <c r="P374" t="s">
        <v>1950</v>
      </c>
      <c r="Q374" t="s">
        <v>1951</v>
      </c>
    </row>
    <row r="375" spans="1:17" x14ac:dyDescent="0.25">
      <c r="A375" t="s">
        <v>39</v>
      </c>
      <c r="B375" t="s">
        <v>1995</v>
      </c>
      <c r="C375" t="s">
        <v>404</v>
      </c>
      <c r="D375" t="s">
        <v>1139</v>
      </c>
      <c r="E375">
        <v>0</v>
      </c>
      <c r="F375" t="s">
        <v>1947</v>
      </c>
      <c r="G375" t="s">
        <v>1187</v>
      </c>
      <c r="H375" t="s">
        <v>1857</v>
      </c>
      <c r="I375" t="s">
        <v>1187</v>
      </c>
      <c r="J375" t="s">
        <v>1187</v>
      </c>
      <c r="K375" t="b">
        <v>0</v>
      </c>
      <c r="L375" t="b">
        <v>1</v>
      </c>
      <c r="M375" t="s">
        <v>1948</v>
      </c>
      <c r="N375" t="s">
        <v>1189</v>
      </c>
      <c r="O375" t="s">
        <v>1949</v>
      </c>
      <c r="P375" t="s">
        <v>1950</v>
      </c>
      <c r="Q375" t="s">
        <v>1951</v>
      </c>
    </row>
    <row r="376" spans="1:17" x14ac:dyDescent="0.25">
      <c r="A376" t="s">
        <v>39</v>
      </c>
      <c r="B376" t="s">
        <v>1996</v>
      </c>
      <c r="C376" t="s">
        <v>404</v>
      </c>
      <c r="D376" t="s">
        <v>1140</v>
      </c>
      <c r="E376">
        <v>0</v>
      </c>
      <c r="F376" t="s">
        <v>1947</v>
      </c>
      <c r="G376" t="s">
        <v>1187</v>
      </c>
      <c r="H376" t="s">
        <v>1857</v>
      </c>
      <c r="I376" t="s">
        <v>1187</v>
      </c>
      <c r="J376" t="s">
        <v>1187</v>
      </c>
      <c r="K376" t="b">
        <v>0</v>
      </c>
      <c r="L376" t="b">
        <v>1</v>
      </c>
      <c r="M376" t="s">
        <v>1948</v>
      </c>
      <c r="N376" t="s">
        <v>1189</v>
      </c>
      <c r="O376" t="s">
        <v>1949</v>
      </c>
      <c r="P376" t="s">
        <v>1950</v>
      </c>
      <c r="Q376" t="s">
        <v>1951</v>
      </c>
    </row>
    <row r="377" spans="1:17" x14ac:dyDescent="0.25">
      <c r="A377" t="s">
        <v>39</v>
      </c>
      <c r="B377" t="s">
        <v>1997</v>
      </c>
      <c r="C377" t="s">
        <v>404</v>
      </c>
      <c r="D377" t="s">
        <v>1141</v>
      </c>
      <c r="E377">
        <v>0</v>
      </c>
      <c r="F377" t="s">
        <v>1947</v>
      </c>
      <c r="G377" t="s">
        <v>1187</v>
      </c>
      <c r="H377" t="s">
        <v>1857</v>
      </c>
      <c r="I377" t="s">
        <v>1187</v>
      </c>
      <c r="J377" t="s">
        <v>1187</v>
      </c>
      <c r="K377" t="b">
        <v>0</v>
      </c>
      <c r="L377" t="b">
        <v>1</v>
      </c>
      <c r="M377" t="s">
        <v>1948</v>
      </c>
      <c r="N377" t="s">
        <v>1189</v>
      </c>
      <c r="O377" t="s">
        <v>1949</v>
      </c>
      <c r="P377" t="s">
        <v>1950</v>
      </c>
      <c r="Q377" t="s">
        <v>1951</v>
      </c>
    </row>
    <row r="378" spans="1:17" x14ac:dyDescent="0.25">
      <c r="A378" t="s">
        <v>39</v>
      </c>
      <c r="B378" t="s">
        <v>1998</v>
      </c>
      <c r="C378" t="s">
        <v>404</v>
      </c>
      <c r="D378" t="s">
        <v>1142</v>
      </c>
      <c r="E378">
        <v>0</v>
      </c>
      <c r="F378" t="s">
        <v>1947</v>
      </c>
      <c r="G378" t="s">
        <v>1187</v>
      </c>
      <c r="H378" t="s">
        <v>1857</v>
      </c>
      <c r="I378" t="s">
        <v>1187</v>
      </c>
      <c r="J378" t="s">
        <v>1187</v>
      </c>
      <c r="K378" t="b">
        <v>0</v>
      </c>
      <c r="L378" t="b">
        <v>1</v>
      </c>
      <c r="M378" t="s">
        <v>1948</v>
      </c>
      <c r="N378" t="s">
        <v>1189</v>
      </c>
      <c r="O378" t="s">
        <v>1949</v>
      </c>
      <c r="P378" t="s">
        <v>1950</v>
      </c>
      <c r="Q378" t="s">
        <v>1951</v>
      </c>
    </row>
    <row r="379" spans="1:17" x14ac:dyDescent="0.25">
      <c r="A379" t="s">
        <v>39</v>
      </c>
      <c r="B379" t="s">
        <v>1999</v>
      </c>
      <c r="C379" t="s">
        <v>404</v>
      </c>
      <c r="D379" t="s">
        <v>1143</v>
      </c>
      <c r="E379">
        <v>0</v>
      </c>
      <c r="F379" t="s">
        <v>1947</v>
      </c>
      <c r="G379" t="s">
        <v>1187</v>
      </c>
      <c r="H379" t="s">
        <v>1857</v>
      </c>
      <c r="I379" t="s">
        <v>1187</v>
      </c>
      <c r="J379" t="s">
        <v>1187</v>
      </c>
      <c r="K379" t="b">
        <v>0</v>
      </c>
      <c r="L379" t="b">
        <v>1</v>
      </c>
      <c r="M379" t="s">
        <v>1948</v>
      </c>
      <c r="N379" t="s">
        <v>1189</v>
      </c>
      <c r="O379" t="s">
        <v>1949</v>
      </c>
      <c r="P379" t="s">
        <v>1950</v>
      </c>
      <c r="Q379" t="s">
        <v>1951</v>
      </c>
    </row>
    <row r="380" spans="1:17" x14ac:dyDescent="0.25">
      <c r="A380" t="s">
        <v>39</v>
      </c>
      <c r="B380" t="s">
        <v>2000</v>
      </c>
      <c r="C380" t="s">
        <v>404</v>
      </c>
      <c r="D380" t="s">
        <v>1144</v>
      </c>
      <c r="E380">
        <v>0</v>
      </c>
      <c r="F380" t="s">
        <v>1947</v>
      </c>
      <c r="G380" t="s">
        <v>1187</v>
      </c>
      <c r="H380" t="s">
        <v>1857</v>
      </c>
      <c r="I380" t="s">
        <v>1187</v>
      </c>
      <c r="J380" t="s">
        <v>1187</v>
      </c>
      <c r="K380" t="b">
        <v>0</v>
      </c>
      <c r="L380" t="b">
        <v>1</v>
      </c>
      <c r="M380" t="s">
        <v>1948</v>
      </c>
      <c r="N380" t="s">
        <v>1189</v>
      </c>
      <c r="O380" t="s">
        <v>1949</v>
      </c>
      <c r="P380" t="s">
        <v>1950</v>
      </c>
      <c r="Q380" t="s">
        <v>1951</v>
      </c>
    </row>
    <row r="381" spans="1:17" x14ac:dyDescent="0.25">
      <c r="A381" t="s">
        <v>39</v>
      </c>
      <c r="B381" t="s">
        <v>2001</v>
      </c>
      <c r="C381" t="s">
        <v>404</v>
      </c>
      <c r="D381" t="s">
        <v>1145</v>
      </c>
      <c r="E381">
        <v>0</v>
      </c>
      <c r="F381" t="s">
        <v>1947</v>
      </c>
      <c r="G381" t="s">
        <v>1187</v>
      </c>
      <c r="H381" t="s">
        <v>1857</v>
      </c>
      <c r="I381" t="s">
        <v>1187</v>
      </c>
      <c r="J381" t="s">
        <v>1187</v>
      </c>
      <c r="K381" t="b">
        <v>0</v>
      </c>
      <c r="L381" t="b">
        <v>1</v>
      </c>
      <c r="M381" t="s">
        <v>1948</v>
      </c>
      <c r="N381" t="s">
        <v>1189</v>
      </c>
      <c r="O381" t="s">
        <v>1949</v>
      </c>
      <c r="P381" t="s">
        <v>1950</v>
      </c>
      <c r="Q381" t="s">
        <v>1951</v>
      </c>
    </row>
    <row r="382" spans="1:17" x14ac:dyDescent="0.25">
      <c r="A382" t="s">
        <v>39</v>
      </c>
      <c r="B382" t="s">
        <v>2002</v>
      </c>
      <c r="C382" t="s">
        <v>404</v>
      </c>
      <c r="D382" t="s">
        <v>1146</v>
      </c>
      <c r="E382">
        <v>0</v>
      </c>
      <c r="F382" t="s">
        <v>1947</v>
      </c>
      <c r="G382" t="s">
        <v>1187</v>
      </c>
      <c r="H382" t="s">
        <v>1857</v>
      </c>
      <c r="I382" t="s">
        <v>1187</v>
      </c>
      <c r="J382" t="s">
        <v>1187</v>
      </c>
      <c r="K382" t="b">
        <v>0</v>
      </c>
      <c r="L382" t="b">
        <v>1</v>
      </c>
      <c r="M382" t="s">
        <v>1948</v>
      </c>
      <c r="N382" t="s">
        <v>1189</v>
      </c>
      <c r="O382" t="s">
        <v>1949</v>
      </c>
      <c r="P382" t="s">
        <v>1950</v>
      </c>
      <c r="Q382" t="s">
        <v>1951</v>
      </c>
    </row>
    <row r="383" spans="1:17" x14ac:dyDescent="0.25">
      <c r="A383" t="s">
        <v>39</v>
      </c>
      <c r="B383" t="s">
        <v>2003</v>
      </c>
      <c r="C383" t="s">
        <v>404</v>
      </c>
      <c r="D383" t="s">
        <v>1147</v>
      </c>
      <c r="E383">
        <v>0</v>
      </c>
      <c r="F383" t="s">
        <v>1947</v>
      </c>
      <c r="G383" t="s">
        <v>1187</v>
      </c>
      <c r="H383" t="s">
        <v>1857</v>
      </c>
      <c r="I383" t="s">
        <v>1187</v>
      </c>
      <c r="J383" t="s">
        <v>1187</v>
      </c>
      <c r="K383" t="b">
        <v>0</v>
      </c>
      <c r="L383" t="b">
        <v>1</v>
      </c>
      <c r="M383" t="s">
        <v>1948</v>
      </c>
      <c r="N383" t="s">
        <v>1189</v>
      </c>
      <c r="O383" t="s">
        <v>1949</v>
      </c>
      <c r="P383" t="s">
        <v>1950</v>
      </c>
      <c r="Q383" t="s">
        <v>1951</v>
      </c>
    </row>
    <row r="384" spans="1:17" x14ac:dyDescent="0.25">
      <c r="A384" t="s">
        <v>39</v>
      </c>
      <c r="B384" t="s">
        <v>2004</v>
      </c>
      <c r="C384" t="s">
        <v>404</v>
      </c>
      <c r="D384" t="s">
        <v>1232</v>
      </c>
      <c r="E384">
        <v>0</v>
      </c>
      <c r="F384" t="s">
        <v>1947</v>
      </c>
      <c r="G384" t="s">
        <v>1187</v>
      </c>
      <c r="H384" t="s">
        <v>1857</v>
      </c>
      <c r="I384" t="s">
        <v>1187</v>
      </c>
      <c r="J384" t="s">
        <v>1187</v>
      </c>
      <c r="K384" t="b">
        <v>0</v>
      </c>
      <c r="L384" t="b">
        <v>1</v>
      </c>
      <c r="M384" t="s">
        <v>1948</v>
      </c>
      <c r="N384" t="s">
        <v>1189</v>
      </c>
      <c r="O384" t="s">
        <v>1949</v>
      </c>
      <c r="P384" t="s">
        <v>1950</v>
      </c>
      <c r="Q384" t="s">
        <v>1951</v>
      </c>
    </row>
    <row r="385" spans="1:17" x14ac:dyDescent="0.25">
      <c r="A385" t="s">
        <v>39</v>
      </c>
      <c r="B385" t="s">
        <v>2005</v>
      </c>
      <c r="C385" t="s">
        <v>404</v>
      </c>
      <c r="D385" t="s">
        <v>1137</v>
      </c>
      <c r="E385">
        <v>0</v>
      </c>
      <c r="F385" t="s">
        <v>1947</v>
      </c>
      <c r="G385" t="s">
        <v>1187</v>
      </c>
      <c r="H385" t="s">
        <v>1857</v>
      </c>
      <c r="I385" t="s">
        <v>1187</v>
      </c>
      <c r="J385" t="s">
        <v>1187</v>
      </c>
      <c r="K385" t="b">
        <v>0</v>
      </c>
      <c r="L385" t="b">
        <v>1</v>
      </c>
      <c r="M385" t="s">
        <v>1948</v>
      </c>
      <c r="N385" t="s">
        <v>1189</v>
      </c>
      <c r="O385" t="s">
        <v>1949</v>
      </c>
      <c r="P385" t="s">
        <v>1950</v>
      </c>
      <c r="Q385" t="s">
        <v>1951</v>
      </c>
    </row>
    <row r="386" spans="1:17" x14ac:dyDescent="0.25">
      <c r="A386" t="s">
        <v>39</v>
      </c>
      <c r="B386" t="s">
        <v>2006</v>
      </c>
      <c r="C386" t="s">
        <v>404</v>
      </c>
      <c r="D386" t="s">
        <v>1138</v>
      </c>
      <c r="E386">
        <v>0</v>
      </c>
      <c r="F386" t="s">
        <v>1947</v>
      </c>
      <c r="G386" t="s">
        <v>1187</v>
      </c>
      <c r="H386" t="s">
        <v>1857</v>
      </c>
      <c r="I386" t="s">
        <v>1187</v>
      </c>
      <c r="J386" t="s">
        <v>1187</v>
      </c>
      <c r="K386" t="b">
        <v>0</v>
      </c>
      <c r="L386" t="b">
        <v>1</v>
      </c>
      <c r="M386" t="s">
        <v>1948</v>
      </c>
      <c r="N386" t="s">
        <v>1189</v>
      </c>
      <c r="O386" t="s">
        <v>1949</v>
      </c>
      <c r="P386" t="s">
        <v>1950</v>
      </c>
      <c r="Q386" t="s">
        <v>1951</v>
      </c>
    </row>
    <row r="387" spans="1:17" x14ac:dyDescent="0.25">
      <c r="A387" t="s">
        <v>39</v>
      </c>
      <c r="B387" t="s">
        <v>2007</v>
      </c>
      <c r="C387" t="s">
        <v>404</v>
      </c>
      <c r="D387" t="s">
        <v>1139</v>
      </c>
      <c r="E387">
        <v>0</v>
      </c>
      <c r="F387" t="s">
        <v>1947</v>
      </c>
      <c r="G387" t="s">
        <v>1187</v>
      </c>
      <c r="H387" t="s">
        <v>1857</v>
      </c>
      <c r="I387" t="s">
        <v>1187</v>
      </c>
      <c r="J387" t="s">
        <v>1187</v>
      </c>
      <c r="K387" t="b">
        <v>0</v>
      </c>
      <c r="L387" t="b">
        <v>1</v>
      </c>
      <c r="M387" t="s">
        <v>1948</v>
      </c>
      <c r="N387" t="s">
        <v>1189</v>
      </c>
      <c r="O387" t="s">
        <v>1949</v>
      </c>
      <c r="P387" t="s">
        <v>1950</v>
      </c>
      <c r="Q387" t="s">
        <v>1951</v>
      </c>
    </row>
    <row r="388" spans="1:17" x14ac:dyDescent="0.25">
      <c r="A388" t="s">
        <v>39</v>
      </c>
      <c r="B388" t="s">
        <v>2008</v>
      </c>
      <c r="C388" t="s">
        <v>404</v>
      </c>
      <c r="D388" t="s">
        <v>1140</v>
      </c>
      <c r="E388">
        <v>0</v>
      </c>
      <c r="F388" t="s">
        <v>1947</v>
      </c>
      <c r="G388" t="s">
        <v>1187</v>
      </c>
      <c r="H388" t="s">
        <v>1857</v>
      </c>
      <c r="I388" t="s">
        <v>1187</v>
      </c>
      <c r="J388" t="s">
        <v>1187</v>
      </c>
      <c r="K388" t="b">
        <v>0</v>
      </c>
      <c r="L388" t="b">
        <v>1</v>
      </c>
      <c r="M388" t="s">
        <v>1948</v>
      </c>
      <c r="N388" t="s">
        <v>1189</v>
      </c>
      <c r="O388" t="s">
        <v>1949</v>
      </c>
      <c r="P388" t="s">
        <v>1950</v>
      </c>
      <c r="Q388" t="s">
        <v>1951</v>
      </c>
    </row>
    <row r="389" spans="1:17" x14ac:dyDescent="0.25">
      <c r="A389" t="s">
        <v>39</v>
      </c>
      <c r="B389" t="s">
        <v>2009</v>
      </c>
      <c r="C389" t="s">
        <v>404</v>
      </c>
      <c r="D389" t="s">
        <v>1141</v>
      </c>
      <c r="E389">
        <v>0</v>
      </c>
      <c r="F389" t="s">
        <v>1947</v>
      </c>
      <c r="G389" t="s">
        <v>1187</v>
      </c>
      <c r="H389" t="s">
        <v>1857</v>
      </c>
      <c r="I389" t="s">
        <v>1187</v>
      </c>
      <c r="J389" t="s">
        <v>1187</v>
      </c>
      <c r="K389" t="b">
        <v>0</v>
      </c>
      <c r="L389" t="b">
        <v>1</v>
      </c>
      <c r="M389" t="s">
        <v>1948</v>
      </c>
      <c r="N389" t="s">
        <v>1189</v>
      </c>
      <c r="O389" t="s">
        <v>1949</v>
      </c>
      <c r="P389" t="s">
        <v>1950</v>
      </c>
      <c r="Q389" t="s">
        <v>1951</v>
      </c>
    </row>
    <row r="390" spans="1:17" x14ac:dyDescent="0.25">
      <c r="A390" t="s">
        <v>39</v>
      </c>
      <c r="B390" t="s">
        <v>2010</v>
      </c>
      <c r="C390" t="s">
        <v>404</v>
      </c>
      <c r="D390" t="s">
        <v>1142</v>
      </c>
      <c r="E390">
        <v>0</v>
      </c>
      <c r="F390" t="s">
        <v>1947</v>
      </c>
      <c r="G390" t="s">
        <v>1187</v>
      </c>
      <c r="H390" t="s">
        <v>1857</v>
      </c>
      <c r="I390" t="s">
        <v>1187</v>
      </c>
      <c r="J390" t="s">
        <v>1187</v>
      </c>
      <c r="K390" t="b">
        <v>0</v>
      </c>
      <c r="L390" t="b">
        <v>1</v>
      </c>
      <c r="M390" t="s">
        <v>1948</v>
      </c>
      <c r="N390" t="s">
        <v>1189</v>
      </c>
      <c r="O390" t="s">
        <v>1949</v>
      </c>
      <c r="P390" t="s">
        <v>1950</v>
      </c>
      <c r="Q390" t="s">
        <v>1951</v>
      </c>
    </row>
    <row r="391" spans="1:17" x14ac:dyDescent="0.25">
      <c r="A391" t="s">
        <v>39</v>
      </c>
      <c r="B391" t="s">
        <v>2011</v>
      </c>
      <c r="C391" t="s">
        <v>404</v>
      </c>
      <c r="D391" t="s">
        <v>1143</v>
      </c>
      <c r="E391">
        <v>0</v>
      </c>
      <c r="F391" t="s">
        <v>1947</v>
      </c>
      <c r="G391" t="s">
        <v>1187</v>
      </c>
      <c r="H391" t="s">
        <v>1857</v>
      </c>
      <c r="I391" t="s">
        <v>1187</v>
      </c>
      <c r="J391" t="s">
        <v>1187</v>
      </c>
      <c r="K391" t="b">
        <v>0</v>
      </c>
      <c r="L391" t="b">
        <v>1</v>
      </c>
      <c r="M391" t="s">
        <v>1948</v>
      </c>
      <c r="N391" t="s">
        <v>1189</v>
      </c>
      <c r="O391" t="s">
        <v>1949</v>
      </c>
      <c r="P391" t="s">
        <v>1950</v>
      </c>
      <c r="Q391" t="s">
        <v>1951</v>
      </c>
    </row>
    <row r="392" spans="1:17" x14ac:dyDescent="0.25">
      <c r="A392" t="s">
        <v>39</v>
      </c>
      <c r="B392" t="s">
        <v>2012</v>
      </c>
      <c r="C392" t="s">
        <v>404</v>
      </c>
      <c r="D392" t="s">
        <v>1144</v>
      </c>
      <c r="E392">
        <v>0</v>
      </c>
      <c r="F392" t="s">
        <v>1947</v>
      </c>
      <c r="G392" t="s">
        <v>1187</v>
      </c>
      <c r="H392" t="s">
        <v>1857</v>
      </c>
      <c r="I392" t="s">
        <v>1187</v>
      </c>
      <c r="J392" t="s">
        <v>1187</v>
      </c>
      <c r="K392" t="b">
        <v>0</v>
      </c>
      <c r="L392" t="b">
        <v>1</v>
      </c>
      <c r="M392" t="s">
        <v>1948</v>
      </c>
      <c r="N392" t="s">
        <v>1189</v>
      </c>
      <c r="O392" t="s">
        <v>1949</v>
      </c>
      <c r="P392" t="s">
        <v>1950</v>
      </c>
      <c r="Q392" t="s">
        <v>1951</v>
      </c>
    </row>
    <row r="393" spans="1:17" x14ac:dyDescent="0.25">
      <c r="A393" t="s">
        <v>39</v>
      </c>
      <c r="B393" t="s">
        <v>2013</v>
      </c>
      <c r="C393" t="s">
        <v>404</v>
      </c>
      <c r="D393" t="s">
        <v>1145</v>
      </c>
      <c r="E393">
        <v>0</v>
      </c>
      <c r="F393" t="s">
        <v>1947</v>
      </c>
      <c r="G393" t="s">
        <v>1187</v>
      </c>
      <c r="H393" t="s">
        <v>1857</v>
      </c>
      <c r="I393" t="s">
        <v>1187</v>
      </c>
      <c r="J393" t="s">
        <v>1187</v>
      </c>
      <c r="K393" t="b">
        <v>0</v>
      </c>
      <c r="L393" t="b">
        <v>1</v>
      </c>
      <c r="M393" t="s">
        <v>1948</v>
      </c>
      <c r="N393" t="s">
        <v>1189</v>
      </c>
      <c r="O393" t="s">
        <v>1949</v>
      </c>
      <c r="P393" t="s">
        <v>1950</v>
      </c>
      <c r="Q393" t="s">
        <v>1951</v>
      </c>
    </row>
    <row r="394" spans="1:17" x14ac:dyDescent="0.25">
      <c r="A394" t="s">
        <v>39</v>
      </c>
      <c r="B394" t="s">
        <v>2014</v>
      </c>
      <c r="C394" t="s">
        <v>404</v>
      </c>
      <c r="D394" t="s">
        <v>1146</v>
      </c>
      <c r="E394">
        <v>0</v>
      </c>
      <c r="F394" t="s">
        <v>1947</v>
      </c>
      <c r="G394" t="s">
        <v>1187</v>
      </c>
      <c r="H394" t="s">
        <v>1857</v>
      </c>
      <c r="I394" t="s">
        <v>1187</v>
      </c>
      <c r="J394" t="s">
        <v>1187</v>
      </c>
      <c r="K394" t="b">
        <v>0</v>
      </c>
      <c r="L394" t="b">
        <v>1</v>
      </c>
      <c r="M394" t="s">
        <v>1948</v>
      </c>
      <c r="N394" t="s">
        <v>1189</v>
      </c>
      <c r="O394" t="s">
        <v>1949</v>
      </c>
      <c r="P394" t="s">
        <v>1950</v>
      </c>
      <c r="Q394" t="s">
        <v>1951</v>
      </c>
    </row>
    <row r="395" spans="1:17" x14ac:dyDescent="0.25">
      <c r="A395" t="s">
        <v>39</v>
      </c>
      <c r="B395" t="s">
        <v>2015</v>
      </c>
      <c r="C395" t="s">
        <v>404</v>
      </c>
      <c r="D395" t="s">
        <v>1147</v>
      </c>
      <c r="E395">
        <v>0</v>
      </c>
      <c r="F395" t="s">
        <v>1947</v>
      </c>
      <c r="G395" t="s">
        <v>1187</v>
      </c>
      <c r="H395" t="s">
        <v>1857</v>
      </c>
      <c r="I395" t="s">
        <v>1187</v>
      </c>
      <c r="J395" t="s">
        <v>1187</v>
      </c>
      <c r="K395" t="b">
        <v>0</v>
      </c>
      <c r="L395" t="b">
        <v>1</v>
      </c>
      <c r="M395" t="s">
        <v>1948</v>
      </c>
      <c r="N395" t="s">
        <v>1189</v>
      </c>
      <c r="O395" t="s">
        <v>1949</v>
      </c>
      <c r="P395" t="s">
        <v>1950</v>
      </c>
      <c r="Q395" t="s">
        <v>1951</v>
      </c>
    </row>
    <row r="396" spans="1:17" x14ac:dyDescent="0.25">
      <c r="A396" t="s">
        <v>39</v>
      </c>
      <c r="B396" t="s">
        <v>2016</v>
      </c>
      <c r="C396" t="s">
        <v>404</v>
      </c>
      <c r="D396" t="s">
        <v>1232</v>
      </c>
      <c r="E396">
        <v>0</v>
      </c>
      <c r="F396" t="s">
        <v>1947</v>
      </c>
      <c r="G396" t="s">
        <v>1187</v>
      </c>
      <c r="H396" t="s">
        <v>1857</v>
      </c>
      <c r="I396" t="s">
        <v>1187</v>
      </c>
      <c r="J396" t="s">
        <v>1187</v>
      </c>
      <c r="K396" t="b">
        <v>0</v>
      </c>
      <c r="L396" t="b">
        <v>1</v>
      </c>
      <c r="M396" t="s">
        <v>1948</v>
      </c>
      <c r="N396" t="s">
        <v>1189</v>
      </c>
      <c r="O396" t="s">
        <v>1949</v>
      </c>
      <c r="P396" t="s">
        <v>1950</v>
      </c>
      <c r="Q396" t="s">
        <v>1951</v>
      </c>
    </row>
    <row r="397" spans="1:17" x14ac:dyDescent="0.25">
      <c r="A397" t="s">
        <v>39</v>
      </c>
      <c r="B397" t="s">
        <v>2017</v>
      </c>
      <c r="C397" t="s">
        <v>404</v>
      </c>
      <c r="D397" t="s">
        <v>1137</v>
      </c>
      <c r="E397">
        <v>0</v>
      </c>
      <c r="F397" t="s">
        <v>1947</v>
      </c>
      <c r="G397" t="s">
        <v>1187</v>
      </c>
      <c r="H397" t="s">
        <v>1857</v>
      </c>
      <c r="I397" t="s">
        <v>1187</v>
      </c>
      <c r="J397" t="s">
        <v>1187</v>
      </c>
      <c r="K397" t="b">
        <v>0</v>
      </c>
      <c r="L397" t="b">
        <v>1</v>
      </c>
      <c r="M397" t="s">
        <v>1948</v>
      </c>
      <c r="N397" t="s">
        <v>1189</v>
      </c>
      <c r="O397" t="s">
        <v>1949</v>
      </c>
      <c r="P397" t="s">
        <v>1950</v>
      </c>
      <c r="Q397" t="s">
        <v>1951</v>
      </c>
    </row>
    <row r="398" spans="1:17" x14ac:dyDescent="0.25">
      <c r="A398" t="s">
        <v>39</v>
      </c>
      <c r="B398" t="s">
        <v>2018</v>
      </c>
      <c r="C398" t="s">
        <v>404</v>
      </c>
      <c r="D398" t="s">
        <v>1138</v>
      </c>
      <c r="E398">
        <v>0</v>
      </c>
      <c r="F398" t="s">
        <v>1947</v>
      </c>
      <c r="G398" t="s">
        <v>1187</v>
      </c>
      <c r="H398" t="s">
        <v>1857</v>
      </c>
      <c r="I398" t="s">
        <v>1187</v>
      </c>
      <c r="J398" t="s">
        <v>1187</v>
      </c>
      <c r="K398" t="b">
        <v>0</v>
      </c>
      <c r="L398" t="b">
        <v>1</v>
      </c>
      <c r="M398" t="s">
        <v>1948</v>
      </c>
      <c r="N398" t="s">
        <v>1189</v>
      </c>
      <c r="O398" t="s">
        <v>1949</v>
      </c>
      <c r="P398" t="s">
        <v>1950</v>
      </c>
      <c r="Q398" t="s">
        <v>1951</v>
      </c>
    </row>
    <row r="399" spans="1:17" x14ac:dyDescent="0.25">
      <c r="A399" t="s">
        <v>39</v>
      </c>
      <c r="B399" t="s">
        <v>2019</v>
      </c>
      <c r="C399" t="s">
        <v>404</v>
      </c>
      <c r="D399" t="s">
        <v>1139</v>
      </c>
      <c r="E399">
        <v>0</v>
      </c>
      <c r="F399" t="s">
        <v>1947</v>
      </c>
      <c r="G399" t="s">
        <v>1187</v>
      </c>
      <c r="H399" t="s">
        <v>1857</v>
      </c>
      <c r="I399" t="s">
        <v>1187</v>
      </c>
      <c r="J399" t="s">
        <v>1187</v>
      </c>
      <c r="K399" t="b">
        <v>0</v>
      </c>
      <c r="L399" t="b">
        <v>1</v>
      </c>
      <c r="M399" t="s">
        <v>1948</v>
      </c>
      <c r="N399" t="s">
        <v>1189</v>
      </c>
      <c r="O399" t="s">
        <v>1949</v>
      </c>
      <c r="P399" t="s">
        <v>1950</v>
      </c>
      <c r="Q399" t="s">
        <v>1951</v>
      </c>
    </row>
    <row r="400" spans="1:17" x14ac:dyDescent="0.25">
      <c r="A400" t="s">
        <v>39</v>
      </c>
      <c r="B400" t="s">
        <v>2020</v>
      </c>
      <c r="C400" t="s">
        <v>404</v>
      </c>
      <c r="D400" t="s">
        <v>1140</v>
      </c>
      <c r="E400">
        <v>0</v>
      </c>
      <c r="F400" t="s">
        <v>1947</v>
      </c>
      <c r="G400" t="s">
        <v>1187</v>
      </c>
      <c r="H400" t="s">
        <v>1857</v>
      </c>
      <c r="I400" t="s">
        <v>1187</v>
      </c>
      <c r="J400" t="s">
        <v>1187</v>
      </c>
      <c r="K400" t="b">
        <v>0</v>
      </c>
      <c r="L400" t="b">
        <v>1</v>
      </c>
      <c r="M400" t="s">
        <v>1948</v>
      </c>
      <c r="N400" t="s">
        <v>1189</v>
      </c>
      <c r="O400" t="s">
        <v>1949</v>
      </c>
      <c r="P400" t="s">
        <v>1950</v>
      </c>
      <c r="Q400" t="s">
        <v>1951</v>
      </c>
    </row>
    <row r="401" spans="1:17" x14ac:dyDescent="0.25">
      <c r="A401" t="s">
        <v>39</v>
      </c>
      <c r="B401" t="s">
        <v>2021</v>
      </c>
      <c r="C401" t="s">
        <v>404</v>
      </c>
      <c r="D401" t="s">
        <v>1141</v>
      </c>
      <c r="E401">
        <v>0</v>
      </c>
      <c r="F401" t="s">
        <v>1947</v>
      </c>
      <c r="G401" t="s">
        <v>1187</v>
      </c>
      <c r="H401" t="s">
        <v>1857</v>
      </c>
      <c r="I401" t="s">
        <v>1187</v>
      </c>
      <c r="J401" t="s">
        <v>1187</v>
      </c>
      <c r="K401" t="b">
        <v>0</v>
      </c>
      <c r="L401" t="b">
        <v>1</v>
      </c>
      <c r="M401" t="s">
        <v>1948</v>
      </c>
      <c r="N401" t="s">
        <v>1189</v>
      </c>
      <c r="O401" t="s">
        <v>1949</v>
      </c>
      <c r="P401" t="s">
        <v>1950</v>
      </c>
      <c r="Q401" t="s">
        <v>1951</v>
      </c>
    </row>
    <row r="402" spans="1:17" x14ac:dyDescent="0.25">
      <c r="A402" t="s">
        <v>39</v>
      </c>
      <c r="B402" t="s">
        <v>2022</v>
      </c>
      <c r="C402" t="s">
        <v>404</v>
      </c>
      <c r="D402" t="s">
        <v>1142</v>
      </c>
      <c r="E402">
        <v>0</v>
      </c>
      <c r="F402" t="s">
        <v>1947</v>
      </c>
      <c r="G402" t="s">
        <v>1187</v>
      </c>
      <c r="H402" t="s">
        <v>1857</v>
      </c>
      <c r="I402" t="s">
        <v>1187</v>
      </c>
      <c r="J402" t="s">
        <v>1187</v>
      </c>
      <c r="K402" t="b">
        <v>0</v>
      </c>
      <c r="L402" t="b">
        <v>1</v>
      </c>
      <c r="M402" t="s">
        <v>1948</v>
      </c>
      <c r="N402" t="s">
        <v>1189</v>
      </c>
      <c r="O402" t="s">
        <v>1949</v>
      </c>
      <c r="P402" t="s">
        <v>1950</v>
      </c>
      <c r="Q402" t="s">
        <v>1951</v>
      </c>
    </row>
    <row r="403" spans="1:17" x14ac:dyDescent="0.25">
      <c r="A403" t="s">
        <v>39</v>
      </c>
      <c r="B403" t="s">
        <v>2023</v>
      </c>
      <c r="C403" t="s">
        <v>404</v>
      </c>
      <c r="D403" t="s">
        <v>1143</v>
      </c>
      <c r="E403">
        <v>0</v>
      </c>
      <c r="F403" t="s">
        <v>1947</v>
      </c>
      <c r="G403" t="s">
        <v>1187</v>
      </c>
      <c r="H403" t="s">
        <v>1857</v>
      </c>
      <c r="I403" t="s">
        <v>1187</v>
      </c>
      <c r="J403" t="s">
        <v>1187</v>
      </c>
      <c r="K403" t="b">
        <v>0</v>
      </c>
      <c r="L403" t="b">
        <v>1</v>
      </c>
      <c r="M403" t="s">
        <v>1948</v>
      </c>
      <c r="N403" t="s">
        <v>1189</v>
      </c>
      <c r="O403" t="s">
        <v>1949</v>
      </c>
      <c r="P403" t="s">
        <v>1950</v>
      </c>
      <c r="Q403" t="s">
        <v>1951</v>
      </c>
    </row>
    <row r="404" spans="1:17" x14ac:dyDescent="0.25">
      <c r="A404" t="s">
        <v>39</v>
      </c>
      <c r="B404" t="s">
        <v>2024</v>
      </c>
      <c r="C404" t="s">
        <v>404</v>
      </c>
      <c r="D404" t="s">
        <v>1144</v>
      </c>
      <c r="E404">
        <v>0</v>
      </c>
      <c r="F404" t="s">
        <v>1947</v>
      </c>
      <c r="G404" t="s">
        <v>1187</v>
      </c>
      <c r="H404" t="s">
        <v>1857</v>
      </c>
      <c r="I404" t="s">
        <v>1187</v>
      </c>
      <c r="J404" t="s">
        <v>1187</v>
      </c>
      <c r="K404" t="b">
        <v>0</v>
      </c>
      <c r="L404" t="b">
        <v>1</v>
      </c>
      <c r="M404" t="s">
        <v>1948</v>
      </c>
      <c r="N404" t="s">
        <v>1189</v>
      </c>
      <c r="O404" t="s">
        <v>1949</v>
      </c>
      <c r="P404" t="s">
        <v>1950</v>
      </c>
      <c r="Q404" t="s">
        <v>1951</v>
      </c>
    </row>
    <row r="405" spans="1:17" x14ac:dyDescent="0.25">
      <c r="A405" t="s">
        <v>39</v>
      </c>
      <c r="B405" t="s">
        <v>2025</v>
      </c>
      <c r="C405" t="s">
        <v>404</v>
      </c>
      <c r="D405" t="s">
        <v>1145</v>
      </c>
      <c r="E405">
        <v>0</v>
      </c>
      <c r="F405" t="s">
        <v>1947</v>
      </c>
      <c r="G405" t="s">
        <v>1187</v>
      </c>
      <c r="H405" t="s">
        <v>1857</v>
      </c>
      <c r="I405" t="s">
        <v>1187</v>
      </c>
      <c r="J405" t="s">
        <v>1187</v>
      </c>
      <c r="K405" t="b">
        <v>0</v>
      </c>
      <c r="L405" t="b">
        <v>1</v>
      </c>
      <c r="M405" t="s">
        <v>1948</v>
      </c>
      <c r="N405" t="s">
        <v>1189</v>
      </c>
      <c r="O405" t="s">
        <v>1949</v>
      </c>
      <c r="P405" t="s">
        <v>1950</v>
      </c>
      <c r="Q405" t="s">
        <v>1951</v>
      </c>
    </row>
    <row r="406" spans="1:17" x14ac:dyDescent="0.25">
      <c r="A406" t="s">
        <v>39</v>
      </c>
      <c r="B406" t="s">
        <v>2026</v>
      </c>
      <c r="C406" t="s">
        <v>404</v>
      </c>
      <c r="D406" t="s">
        <v>1146</v>
      </c>
      <c r="E406">
        <v>0</v>
      </c>
      <c r="F406" t="s">
        <v>1947</v>
      </c>
      <c r="G406" t="s">
        <v>1187</v>
      </c>
      <c r="H406" t="s">
        <v>1857</v>
      </c>
      <c r="I406" t="s">
        <v>1187</v>
      </c>
      <c r="J406" t="s">
        <v>1187</v>
      </c>
      <c r="K406" t="b">
        <v>0</v>
      </c>
      <c r="L406" t="b">
        <v>1</v>
      </c>
      <c r="M406" t="s">
        <v>1948</v>
      </c>
      <c r="N406" t="s">
        <v>1189</v>
      </c>
      <c r="O406" t="s">
        <v>1949</v>
      </c>
      <c r="P406" t="s">
        <v>1950</v>
      </c>
      <c r="Q406" t="s">
        <v>1951</v>
      </c>
    </row>
    <row r="407" spans="1:17" x14ac:dyDescent="0.25">
      <c r="A407" t="s">
        <v>39</v>
      </c>
      <c r="B407" t="s">
        <v>2027</v>
      </c>
      <c r="C407" t="s">
        <v>404</v>
      </c>
      <c r="D407" t="s">
        <v>1147</v>
      </c>
      <c r="E407">
        <v>0</v>
      </c>
      <c r="F407" t="s">
        <v>1947</v>
      </c>
      <c r="G407" t="s">
        <v>1187</v>
      </c>
      <c r="H407" t="s">
        <v>1857</v>
      </c>
      <c r="I407" t="s">
        <v>1187</v>
      </c>
      <c r="J407" t="s">
        <v>1187</v>
      </c>
      <c r="K407" t="b">
        <v>0</v>
      </c>
      <c r="L407" t="b">
        <v>1</v>
      </c>
      <c r="M407" t="s">
        <v>1948</v>
      </c>
      <c r="N407" t="s">
        <v>1189</v>
      </c>
      <c r="O407" t="s">
        <v>1949</v>
      </c>
      <c r="P407" t="s">
        <v>1950</v>
      </c>
      <c r="Q407" t="s">
        <v>1951</v>
      </c>
    </row>
    <row r="408" spans="1:17" x14ac:dyDescent="0.25">
      <c r="A408" t="s">
        <v>39</v>
      </c>
      <c r="B408" t="s">
        <v>2028</v>
      </c>
      <c r="C408" t="s">
        <v>404</v>
      </c>
      <c r="D408" t="s">
        <v>1232</v>
      </c>
      <c r="E408">
        <v>0</v>
      </c>
      <c r="F408" t="s">
        <v>1947</v>
      </c>
      <c r="G408" t="s">
        <v>1187</v>
      </c>
      <c r="H408" t="s">
        <v>1857</v>
      </c>
      <c r="I408" t="s">
        <v>1187</v>
      </c>
      <c r="J408" t="s">
        <v>1187</v>
      </c>
      <c r="K408" t="b">
        <v>0</v>
      </c>
      <c r="L408" t="b">
        <v>1</v>
      </c>
      <c r="M408" t="s">
        <v>1948</v>
      </c>
      <c r="N408" t="s">
        <v>1189</v>
      </c>
      <c r="O408" t="s">
        <v>1949</v>
      </c>
      <c r="P408" t="s">
        <v>1950</v>
      </c>
      <c r="Q408" t="s">
        <v>1951</v>
      </c>
    </row>
    <row r="409" spans="1:17" x14ac:dyDescent="0.25">
      <c r="A409" t="s">
        <v>41</v>
      </c>
      <c r="B409" t="s">
        <v>2029</v>
      </c>
      <c r="C409" t="s">
        <v>449</v>
      </c>
      <c r="D409" t="s">
        <v>1137</v>
      </c>
      <c r="E409">
        <v>0</v>
      </c>
      <c r="F409" t="s">
        <v>1186</v>
      </c>
      <c r="G409" t="s">
        <v>1187</v>
      </c>
      <c r="H409" t="s">
        <v>2030</v>
      </c>
      <c r="I409" t="s">
        <v>1187</v>
      </c>
      <c r="J409" t="s">
        <v>1187</v>
      </c>
      <c r="K409" t="b">
        <v>1</v>
      </c>
      <c r="L409" t="b">
        <v>0</v>
      </c>
      <c r="M409" t="s">
        <v>1187</v>
      </c>
      <c r="N409" t="s">
        <v>1189</v>
      </c>
      <c r="O409" t="s">
        <v>1949</v>
      </c>
      <c r="P409" t="s">
        <v>2031</v>
      </c>
      <c r="Q409" t="s">
        <v>2032</v>
      </c>
    </row>
    <row r="410" spans="1:17" x14ac:dyDescent="0.25">
      <c r="A410" t="s">
        <v>41</v>
      </c>
      <c r="B410" t="s">
        <v>2033</v>
      </c>
      <c r="C410" t="s">
        <v>449</v>
      </c>
      <c r="D410" t="s">
        <v>1138</v>
      </c>
      <c r="E410">
        <v>0</v>
      </c>
      <c r="F410" t="s">
        <v>1186</v>
      </c>
      <c r="G410" t="s">
        <v>1187</v>
      </c>
      <c r="H410" t="s">
        <v>2030</v>
      </c>
      <c r="I410" t="s">
        <v>1187</v>
      </c>
      <c r="J410" t="s">
        <v>1187</v>
      </c>
      <c r="K410" t="b">
        <v>1</v>
      </c>
      <c r="L410" t="b">
        <v>0</v>
      </c>
      <c r="M410" t="s">
        <v>1187</v>
      </c>
      <c r="N410" t="s">
        <v>1189</v>
      </c>
      <c r="O410" t="s">
        <v>1949</v>
      </c>
      <c r="P410" t="s">
        <v>2031</v>
      </c>
      <c r="Q410" t="s">
        <v>2032</v>
      </c>
    </row>
    <row r="411" spans="1:17" x14ac:dyDescent="0.25">
      <c r="A411" t="s">
        <v>41</v>
      </c>
      <c r="B411" t="s">
        <v>2034</v>
      </c>
      <c r="C411" t="s">
        <v>449</v>
      </c>
      <c r="D411" t="s">
        <v>1139</v>
      </c>
      <c r="E411">
        <v>0</v>
      </c>
      <c r="F411" t="s">
        <v>1186</v>
      </c>
      <c r="G411" t="s">
        <v>1187</v>
      </c>
      <c r="H411" t="s">
        <v>2030</v>
      </c>
      <c r="I411" t="s">
        <v>1187</v>
      </c>
      <c r="J411" t="s">
        <v>1187</v>
      </c>
      <c r="K411" t="b">
        <v>1</v>
      </c>
      <c r="L411" t="b">
        <v>0</v>
      </c>
      <c r="M411" t="s">
        <v>1187</v>
      </c>
      <c r="N411" t="s">
        <v>1189</v>
      </c>
      <c r="O411" t="s">
        <v>1949</v>
      </c>
      <c r="P411" t="s">
        <v>2031</v>
      </c>
      <c r="Q411" t="s">
        <v>2032</v>
      </c>
    </row>
    <row r="412" spans="1:17" x14ac:dyDescent="0.25">
      <c r="A412" t="s">
        <v>41</v>
      </c>
      <c r="B412" t="s">
        <v>2035</v>
      </c>
      <c r="C412" t="s">
        <v>449</v>
      </c>
      <c r="D412" t="s">
        <v>1140</v>
      </c>
      <c r="E412">
        <v>0</v>
      </c>
      <c r="F412" t="s">
        <v>1186</v>
      </c>
      <c r="G412" t="s">
        <v>1187</v>
      </c>
      <c r="H412" t="s">
        <v>2030</v>
      </c>
      <c r="I412" t="s">
        <v>1187</v>
      </c>
      <c r="J412" t="s">
        <v>1187</v>
      </c>
      <c r="K412" t="b">
        <v>1</v>
      </c>
      <c r="L412" t="b">
        <v>0</v>
      </c>
      <c r="M412" t="s">
        <v>1187</v>
      </c>
      <c r="N412" t="s">
        <v>1189</v>
      </c>
      <c r="O412" t="s">
        <v>1949</v>
      </c>
      <c r="P412" t="s">
        <v>2031</v>
      </c>
      <c r="Q412" t="s">
        <v>2032</v>
      </c>
    </row>
    <row r="413" spans="1:17" x14ac:dyDescent="0.25">
      <c r="A413" t="s">
        <v>41</v>
      </c>
      <c r="B413" t="s">
        <v>2036</v>
      </c>
      <c r="C413" t="s">
        <v>449</v>
      </c>
      <c r="D413" t="s">
        <v>1141</v>
      </c>
      <c r="E413">
        <v>0</v>
      </c>
      <c r="F413" t="s">
        <v>1186</v>
      </c>
      <c r="G413" t="s">
        <v>1187</v>
      </c>
      <c r="H413" t="s">
        <v>2030</v>
      </c>
      <c r="I413" t="s">
        <v>1187</v>
      </c>
      <c r="J413" t="s">
        <v>1187</v>
      </c>
      <c r="K413" t="b">
        <v>1</v>
      </c>
      <c r="L413" t="b">
        <v>0</v>
      </c>
      <c r="M413" t="s">
        <v>1187</v>
      </c>
      <c r="N413" t="s">
        <v>1189</v>
      </c>
      <c r="O413" t="s">
        <v>1949</v>
      </c>
      <c r="P413" t="s">
        <v>2031</v>
      </c>
      <c r="Q413" t="s">
        <v>2032</v>
      </c>
    </row>
    <row r="414" spans="1:17" x14ac:dyDescent="0.25">
      <c r="A414" t="s">
        <v>41</v>
      </c>
      <c r="B414" t="s">
        <v>2037</v>
      </c>
      <c r="C414" t="s">
        <v>449</v>
      </c>
      <c r="D414" t="s">
        <v>1142</v>
      </c>
      <c r="E414">
        <v>0</v>
      </c>
      <c r="F414" t="s">
        <v>1186</v>
      </c>
      <c r="G414" t="s">
        <v>1187</v>
      </c>
      <c r="H414" t="s">
        <v>2030</v>
      </c>
      <c r="I414" t="s">
        <v>1187</v>
      </c>
      <c r="J414" t="s">
        <v>1187</v>
      </c>
      <c r="K414" t="b">
        <v>1</v>
      </c>
      <c r="L414" t="b">
        <v>0</v>
      </c>
      <c r="M414" t="s">
        <v>1187</v>
      </c>
      <c r="N414" t="s">
        <v>1189</v>
      </c>
      <c r="O414" t="s">
        <v>1949</v>
      </c>
      <c r="P414" t="s">
        <v>2031</v>
      </c>
      <c r="Q414" t="s">
        <v>2032</v>
      </c>
    </row>
    <row r="415" spans="1:17" x14ac:dyDescent="0.25">
      <c r="A415" t="s">
        <v>41</v>
      </c>
      <c r="B415" t="s">
        <v>2038</v>
      </c>
      <c r="C415" t="s">
        <v>449</v>
      </c>
      <c r="D415" t="s">
        <v>1143</v>
      </c>
      <c r="E415">
        <v>0</v>
      </c>
      <c r="F415" t="s">
        <v>1186</v>
      </c>
      <c r="G415" t="s">
        <v>1187</v>
      </c>
      <c r="H415" t="s">
        <v>2030</v>
      </c>
      <c r="I415" t="s">
        <v>1187</v>
      </c>
      <c r="J415" t="s">
        <v>1187</v>
      </c>
      <c r="K415" t="b">
        <v>1</v>
      </c>
      <c r="L415" t="b">
        <v>0</v>
      </c>
      <c r="M415" t="s">
        <v>1187</v>
      </c>
      <c r="N415" t="s">
        <v>1189</v>
      </c>
      <c r="O415" t="s">
        <v>1949</v>
      </c>
      <c r="P415" t="s">
        <v>2031</v>
      </c>
      <c r="Q415" t="s">
        <v>2032</v>
      </c>
    </row>
    <row r="416" spans="1:17" x14ac:dyDescent="0.25">
      <c r="A416" t="s">
        <v>41</v>
      </c>
      <c r="B416" t="s">
        <v>2039</v>
      </c>
      <c r="C416" t="s">
        <v>449</v>
      </c>
      <c r="D416" t="s">
        <v>1144</v>
      </c>
      <c r="E416">
        <v>0</v>
      </c>
      <c r="F416" t="s">
        <v>1186</v>
      </c>
      <c r="G416" t="s">
        <v>1187</v>
      </c>
      <c r="H416" t="s">
        <v>2030</v>
      </c>
      <c r="I416" t="s">
        <v>1187</v>
      </c>
      <c r="J416" t="s">
        <v>1187</v>
      </c>
      <c r="K416" t="b">
        <v>1</v>
      </c>
      <c r="L416" t="b">
        <v>0</v>
      </c>
      <c r="M416" t="s">
        <v>1187</v>
      </c>
      <c r="N416" t="s">
        <v>1189</v>
      </c>
      <c r="O416" t="s">
        <v>1949</v>
      </c>
      <c r="P416" t="s">
        <v>2031</v>
      </c>
      <c r="Q416" t="s">
        <v>2032</v>
      </c>
    </row>
    <row r="417" spans="1:17" x14ac:dyDescent="0.25">
      <c r="A417" t="s">
        <v>41</v>
      </c>
      <c r="B417" t="s">
        <v>2040</v>
      </c>
      <c r="C417" t="s">
        <v>449</v>
      </c>
      <c r="D417" t="s">
        <v>1145</v>
      </c>
      <c r="E417">
        <v>0</v>
      </c>
      <c r="F417" t="s">
        <v>1186</v>
      </c>
      <c r="G417" t="s">
        <v>1187</v>
      </c>
      <c r="H417" t="s">
        <v>2030</v>
      </c>
      <c r="I417" t="s">
        <v>1187</v>
      </c>
      <c r="J417" t="s">
        <v>1187</v>
      </c>
      <c r="K417" t="b">
        <v>1</v>
      </c>
      <c r="L417" t="b">
        <v>0</v>
      </c>
      <c r="M417" t="s">
        <v>1187</v>
      </c>
      <c r="N417" t="s">
        <v>1189</v>
      </c>
      <c r="O417" t="s">
        <v>1949</v>
      </c>
      <c r="P417" t="s">
        <v>2031</v>
      </c>
      <c r="Q417" t="s">
        <v>2032</v>
      </c>
    </row>
    <row r="418" spans="1:17" x14ac:dyDescent="0.25">
      <c r="A418" t="s">
        <v>41</v>
      </c>
      <c r="B418" t="s">
        <v>2041</v>
      </c>
      <c r="C418" t="s">
        <v>449</v>
      </c>
      <c r="D418" t="s">
        <v>1146</v>
      </c>
      <c r="E418">
        <v>0</v>
      </c>
      <c r="F418" t="s">
        <v>1186</v>
      </c>
      <c r="G418" t="s">
        <v>1187</v>
      </c>
      <c r="H418" t="s">
        <v>2030</v>
      </c>
      <c r="I418" t="s">
        <v>1187</v>
      </c>
      <c r="J418" t="s">
        <v>1187</v>
      </c>
      <c r="K418" t="b">
        <v>1</v>
      </c>
      <c r="L418" t="b">
        <v>0</v>
      </c>
      <c r="M418" t="s">
        <v>1187</v>
      </c>
      <c r="N418" t="s">
        <v>1189</v>
      </c>
      <c r="O418" t="s">
        <v>1949</v>
      </c>
      <c r="P418" t="s">
        <v>2031</v>
      </c>
      <c r="Q418" t="s">
        <v>2032</v>
      </c>
    </row>
    <row r="419" spans="1:17" x14ac:dyDescent="0.25">
      <c r="A419" t="s">
        <v>41</v>
      </c>
      <c r="B419" t="s">
        <v>2042</v>
      </c>
      <c r="C419" t="s">
        <v>449</v>
      </c>
      <c r="D419" t="s">
        <v>1147</v>
      </c>
      <c r="E419">
        <v>0</v>
      </c>
      <c r="F419" t="s">
        <v>1186</v>
      </c>
      <c r="G419" t="s">
        <v>1187</v>
      </c>
      <c r="H419" t="s">
        <v>2030</v>
      </c>
      <c r="I419" t="s">
        <v>1187</v>
      </c>
      <c r="J419" t="s">
        <v>1187</v>
      </c>
      <c r="K419" t="b">
        <v>1</v>
      </c>
      <c r="L419" t="b">
        <v>0</v>
      </c>
      <c r="M419" t="s">
        <v>1187</v>
      </c>
      <c r="N419" t="s">
        <v>1189</v>
      </c>
      <c r="O419" t="s">
        <v>1949</v>
      </c>
      <c r="P419" t="s">
        <v>2031</v>
      </c>
      <c r="Q419" t="s">
        <v>2032</v>
      </c>
    </row>
    <row r="420" spans="1:17" x14ac:dyDescent="0.25">
      <c r="A420" t="s">
        <v>41</v>
      </c>
      <c r="B420" t="s">
        <v>2043</v>
      </c>
      <c r="C420" t="s">
        <v>449</v>
      </c>
      <c r="D420" t="s">
        <v>1232</v>
      </c>
      <c r="E420">
        <v>0</v>
      </c>
      <c r="F420" t="s">
        <v>1186</v>
      </c>
      <c r="G420" t="s">
        <v>1187</v>
      </c>
      <c r="H420" t="s">
        <v>2030</v>
      </c>
      <c r="I420" t="s">
        <v>1187</v>
      </c>
      <c r="J420" t="s">
        <v>1187</v>
      </c>
      <c r="K420" t="b">
        <v>1</v>
      </c>
      <c r="L420" t="b">
        <v>0</v>
      </c>
      <c r="M420" t="s">
        <v>1187</v>
      </c>
      <c r="N420" t="s">
        <v>1189</v>
      </c>
      <c r="O420" t="s">
        <v>1949</v>
      </c>
      <c r="P420" t="s">
        <v>2031</v>
      </c>
      <c r="Q420" t="s">
        <v>2032</v>
      </c>
    </row>
    <row r="421" spans="1:17" x14ac:dyDescent="0.25">
      <c r="A421" t="s">
        <v>41</v>
      </c>
      <c r="B421" t="s">
        <v>2044</v>
      </c>
      <c r="C421" t="s">
        <v>450</v>
      </c>
      <c r="D421" t="s">
        <v>1137</v>
      </c>
      <c r="E421">
        <v>392.6</v>
      </c>
      <c r="F421" t="s">
        <v>2030</v>
      </c>
      <c r="G421" t="s">
        <v>2045</v>
      </c>
      <c r="H421" t="s">
        <v>2030</v>
      </c>
      <c r="I421" t="s">
        <v>1187</v>
      </c>
      <c r="J421" t="s">
        <v>1187</v>
      </c>
      <c r="K421" t="b">
        <v>1</v>
      </c>
      <c r="L421" t="b">
        <v>0</v>
      </c>
      <c r="M421" t="s">
        <v>1187</v>
      </c>
      <c r="N421" t="s">
        <v>1291</v>
      </c>
      <c r="O421" t="s">
        <v>1190</v>
      </c>
      <c r="P421" t="s">
        <v>1201</v>
      </c>
      <c r="Q421" t="s">
        <v>2046</v>
      </c>
    </row>
    <row r="422" spans="1:17" x14ac:dyDescent="0.25">
      <c r="A422" t="s">
        <v>41</v>
      </c>
      <c r="B422" t="s">
        <v>2047</v>
      </c>
      <c r="C422" t="s">
        <v>450</v>
      </c>
      <c r="D422" t="s">
        <v>1138</v>
      </c>
      <c r="E422">
        <v>431</v>
      </c>
      <c r="F422" t="s">
        <v>2030</v>
      </c>
      <c r="G422" t="s">
        <v>2048</v>
      </c>
      <c r="H422" t="s">
        <v>2030</v>
      </c>
      <c r="I422" t="s">
        <v>1187</v>
      </c>
      <c r="J422" t="s">
        <v>1187</v>
      </c>
      <c r="K422" t="b">
        <v>1</v>
      </c>
      <c r="L422" t="b">
        <v>0</v>
      </c>
      <c r="M422" t="s">
        <v>1187</v>
      </c>
      <c r="N422" t="s">
        <v>1291</v>
      </c>
      <c r="O422" t="s">
        <v>1190</v>
      </c>
      <c r="P422" t="s">
        <v>1201</v>
      </c>
      <c r="Q422" t="s">
        <v>2046</v>
      </c>
    </row>
    <row r="423" spans="1:17" x14ac:dyDescent="0.25">
      <c r="A423" t="s">
        <v>41</v>
      </c>
      <c r="B423" t="s">
        <v>2049</v>
      </c>
      <c r="C423" t="s">
        <v>450</v>
      </c>
      <c r="D423" t="s">
        <v>1139</v>
      </c>
      <c r="E423">
        <v>436.3</v>
      </c>
      <c r="F423" t="s">
        <v>2030</v>
      </c>
      <c r="G423" t="s">
        <v>2050</v>
      </c>
      <c r="H423" t="s">
        <v>2030</v>
      </c>
      <c r="I423" t="s">
        <v>1187</v>
      </c>
      <c r="J423" t="s">
        <v>1187</v>
      </c>
      <c r="K423" t="b">
        <v>1</v>
      </c>
      <c r="L423" t="b">
        <v>0</v>
      </c>
      <c r="M423" t="s">
        <v>1187</v>
      </c>
      <c r="N423" t="s">
        <v>1291</v>
      </c>
      <c r="O423" t="s">
        <v>1190</v>
      </c>
      <c r="P423" t="s">
        <v>1201</v>
      </c>
      <c r="Q423" t="s">
        <v>2046</v>
      </c>
    </row>
    <row r="424" spans="1:17" x14ac:dyDescent="0.25">
      <c r="A424" t="s">
        <v>41</v>
      </c>
      <c r="B424" t="s">
        <v>2051</v>
      </c>
      <c r="C424" t="s">
        <v>450</v>
      </c>
      <c r="D424" t="s">
        <v>1140</v>
      </c>
      <c r="E424">
        <v>419.5</v>
      </c>
      <c r="F424" t="s">
        <v>2030</v>
      </c>
      <c r="G424" t="s">
        <v>2052</v>
      </c>
      <c r="H424" t="s">
        <v>2030</v>
      </c>
      <c r="I424" t="s">
        <v>1187</v>
      </c>
      <c r="J424" t="s">
        <v>1187</v>
      </c>
      <c r="K424" t="b">
        <v>1</v>
      </c>
      <c r="L424" t="b">
        <v>0</v>
      </c>
      <c r="M424" t="s">
        <v>1187</v>
      </c>
      <c r="N424" t="s">
        <v>1291</v>
      </c>
      <c r="O424" t="s">
        <v>1190</v>
      </c>
      <c r="P424" t="s">
        <v>1201</v>
      </c>
      <c r="Q424" t="s">
        <v>2046</v>
      </c>
    </row>
    <row r="425" spans="1:17" x14ac:dyDescent="0.25">
      <c r="A425" t="s">
        <v>41</v>
      </c>
      <c r="B425" t="s">
        <v>2053</v>
      </c>
      <c r="C425" t="s">
        <v>450</v>
      </c>
      <c r="D425" t="s">
        <v>1141</v>
      </c>
      <c r="E425">
        <v>404.4</v>
      </c>
      <c r="F425" t="s">
        <v>2030</v>
      </c>
      <c r="G425" t="s">
        <v>2054</v>
      </c>
      <c r="H425" t="s">
        <v>2030</v>
      </c>
      <c r="I425" t="s">
        <v>1187</v>
      </c>
      <c r="J425" t="s">
        <v>1187</v>
      </c>
      <c r="K425" t="b">
        <v>1</v>
      </c>
      <c r="L425" t="b">
        <v>0</v>
      </c>
      <c r="M425" t="s">
        <v>1187</v>
      </c>
      <c r="N425" t="s">
        <v>1291</v>
      </c>
      <c r="O425" t="s">
        <v>1190</v>
      </c>
      <c r="P425" t="s">
        <v>1201</v>
      </c>
      <c r="Q425" t="s">
        <v>2046</v>
      </c>
    </row>
    <row r="426" spans="1:17" x14ac:dyDescent="0.25">
      <c r="A426" t="s">
        <v>41</v>
      </c>
      <c r="B426" t="s">
        <v>2055</v>
      </c>
      <c r="C426" t="s">
        <v>450</v>
      </c>
      <c r="D426" t="s">
        <v>1142</v>
      </c>
      <c r="E426">
        <v>440.2</v>
      </c>
      <c r="F426" t="s">
        <v>2030</v>
      </c>
      <c r="G426" t="s">
        <v>2056</v>
      </c>
      <c r="H426" t="s">
        <v>2030</v>
      </c>
      <c r="I426" t="s">
        <v>1187</v>
      </c>
      <c r="J426" t="s">
        <v>1187</v>
      </c>
      <c r="K426" t="b">
        <v>1</v>
      </c>
      <c r="L426" t="b">
        <v>0</v>
      </c>
      <c r="M426" t="s">
        <v>1187</v>
      </c>
      <c r="N426" t="s">
        <v>1291</v>
      </c>
      <c r="O426" t="s">
        <v>1190</v>
      </c>
      <c r="P426" t="s">
        <v>1201</v>
      </c>
      <c r="Q426" t="s">
        <v>2046</v>
      </c>
    </row>
    <row r="427" spans="1:17" x14ac:dyDescent="0.25">
      <c r="A427" t="s">
        <v>41</v>
      </c>
      <c r="B427" t="s">
        <v>2057</v>
      </c>
      <c r="C427" t="s">
        <v>450</v>
      </c>
      <c r="D427" t="s">
        <v>1143</v>
      </c>
      <c r="E427">
        <v>452.8</v>
      </c>
      <c r="F427" t="s">
        <v>2030</v>
      </c>
      <c r="G427" t="s">
        <v>2058</v>
      </c>
      <c r="H427" t="s">
        <v>2030</v>
      </c>
      <c r="I427" t="s">
        <v>1187</v>
      </c>
      <c r="J427" t="s">
        <v>1187</v>
      </c>
      <c r="K427" t="b">
        <v>1</v>
      </c>
      <c r="L427" t="b">
        <v>0</v>
      </c>
      <c r="M427" t="s">
        <v>1187</v>
      </c>
      <c r="N427" t="s">
        <v>1291</v>
      </c>
      <c r="O427" t="s">
        <v>1190</v>
      </c>
      <c r="P427" t="s">
        <v>1201</v>
      </c>
      <c r="Q427" t="s">
        <v>2046</v>
      </c>
    </row>
    <row r="428" spans="1:17" x14ac:dyDescent="0.25">
      <c r="A428" t="s">
        <v>41</v>
      </c>
      <c r="B428" t="s">
        <v>2059</v>
      </c>
      <c r="C428" t="s">
        <v>450</v>
      </c>
      <c r="D428" t="s">
        <v>1144</v>
      </c>
      <c r="E428">
        <v>443.6</v>
      </c>
      <c r="F428" t="s">
        <v>2030</v>
      </c>
      <c r="G428" t="s">
        <v>2060</v>
      </c>
      <c r="H428" t="s">
        <v>2030</v>
      </c>
      <c r="I428" t="s">
        <v>1187</v>
      </c>
      <c r="J428" t="s">
        <v>1187</v>
      </c>
      <c r="K428" t="b">
        <v>1</v>
      </c>
      <c r="L428" t="b">
        <v>0</v>
      </c>
      <c r="M428" t="s">
        <v>1187</v>
      </c>
      <c r="N428" t="s">
        <v>1291</v>
      </c>
      <c r="O428" t="s">
        <v>1190</v>
      </c>
      <c r="P428" t="s">
        <v>1201</v>
      </c>
      <c r="Q428" t="s">
        <v>2046</v>
      </c>
    </row>
    <row r="429" spans="1:17" x14ac:dyDescent="0.25">
      <c r="A429" t="s">
        <v>41</v>
      </c>
      <c r="B429" t="s">
        <v>2061</v>
      </c>
      <c r="C429" t="s">
        <v>450</v>
      </c>
      <c r="D429" t="s">
        <v>1145</v>
      </c>
      <c r="E429">
        <v>421</v>
      </c>
      <c r="F429" t="s">
        <v>2030</v>
      </c>
      <c r="G429" t="s">
        <v>2062</v>
      </c>
      <c r="H429" t="s">
        <v>2030</v>
      </c>
      <c r="I429" t="s">
        <v>1187</v>
      </c>
      <c r="J429" t="s">
        <v>1187</v>
      </c>
      <c r="K429" t="b">
        <v>1</v>
      </c>
      <c r="L429" t="b">
        <v>0</v>
      </c>
      <c r="M429" t="s">
        <v>1187</v>
      </c>
      <c r="N429" t="s">
        <v>1291</v>
      </c>
      <c r="O429" t="s">
        <v>1190</v>
      </c>
      <c r="P429" t="s">
        <v>1201</v>
      </c>
      <c r="Q429" t="s">
        <v>2046</v>
      </c>
    </row>
    <row r="430" spans="1:17" x14ac:dyDescent="0.25">
      <c r="A430" t="s">
        <v>41</v>
      </c>
      <c r="B430" t="s">
        <v>2063</v>
      </c>
      <c r="C430" t="s">
        <v>450</v>
      </c>
      <c r="D430" t="s">
        <v>1146</v>
      </c>
      <c r="E430">
        <v>516</v>
      </c>
      <c r="F430" t="s">
        <v>2030</v>
      </c>
      <c r="G430" t="s">
        <v>2064</v>
      </c>
      <c r="H430" t="s">
        <v>2030</v>
      </c>
      <c r="I430" t="s">
        <v>1187</v>
      </c>
      <c r="J430" t="s">
        <v>1187</v>
      </c>
      <c r="K430" t="b">
        <v>1</v>
      </c>
      <c r="L430" t="b">
        <v>0</v>
      </c>
      <c r="M430" t="s">
        <v>1187</v>
      </c>
      <c r="N430" t="s">
        <v>1291</v>
      </c>
      <c r="O430" t="s">
        <v>1190</v>
      </c>
      <c r="P430" t="s">
        <v>1201</v>
      </c>
      <c r="Q430" t="s">
        <v>2046</v>
      </c>
    </row>
    <row r="431" spans="1:17" x14ac:dyDescent="0.25">
      <c r="A431" t="s">
        <v>41</v>
      </c>
      <c r="B431" t="s">
        <v>2065</v>
      </c>
      <c r="C431" t="s">
        <v>450</v>
      </c>
      <c r="D431" t="s">
        <v>1147</v>
      </c>
      <c r="E431">
        <v>516</v>
      </c>
      <c r="F431" t="s">
        <v>2030</v>
      </c>
      <c r="G431" t="s">
        <v>2064</v>
      </c>
      <c r="H431" t="s">
        <v>2030</v>
      </c>
      <c r="I431" t="s">
        <v>1187</v>
      </c>
      <c r="J431" t="s">
        <v>1187</v>
      </c>
      <c r="K431" t="b">
        <v>1</v>
      </c>
      <c r="L431" t="b">
        <v>0</v>
      </c>
      <c r="M431" t="s">
        <v>1187</v>
      </c>
      <c r="N431" t="s">
        <v>1291</v>
      </c>
      <c r="O431" t="s">
        <v>1190</v>
      </c>
      <c r="P431" t="s">
        <v>1201</v>
      </c>
      <c r="Q431" t="s">
        <v>2046</v>
      </c>
    </row>
    <row r="432" spans="1:17" x14ac:dyDescent="0.25">
      <c r="A432" t="s">
        <v>41</v>
      </c>
      <c r="B432" t="s">
        <v>2066</v>
      </c>
      <c r="C432" t="s">
        <v>450</v>
      </c>
      <c r="D432" t="s">
        <v>1232</v>
      </c>
      <c r="E432">
        <v>467</v>
      </c>
      <c r="F432" t="s">
        <v>2030</v>
      </c>
      <c r="G432" t="s">
        <v>2067</v>
      </c>
      <c r="H432" t="s">
        <v>2030</v>
      </c>
      <c r="I432" t="s">
        <v>1187</v>
      </c>
      <c r="J432" t="s">
        <v>1187</v>
      </c>
      <c r="K432" t="b">
        <v>1</v>
      </c>
      <c r="L432" t="b">
        <v>0</v>
      </c>
      <c r="M432" t="s">
        <v>1187</v>
      </c>
      <c r="N432" t="s">
        <v>1291</v>
      </c>
      <c r="O432" t="s">
        <v>1190</v>
      </c>
      <c r="P432" t="s">
        <v>1201</v>
      </c>
      <c r="Q432" t="s">
        <v>2046</v>
      </c>
    </row>
    <row r="433" spans="1:17" x14ac:dyDescent="0.25">
      <c r="A433" t="s">
        <v>41</v>
      </c>
      <c r="B433" t="s">
        <v>2068</v>
      </c>
      <c r="C433" t="s">
        <v>451</v>
      </c>
      <c r="D433" t="s">
        <v>1137</v>
      </c>
      <c r="E433">
        <v>408.3</v>
      </c>
      <c r="F433" t="s">
        <v>2030</v>
      </c>
      <c r="G433" t="s">
        <v>2069</v>
      </c>
      <c r="H433" t="s">
        <v>2030</v>
      </c>
      <c r="I433" t="s">
        <v>1187</v>
      </c>
      <c r="J433" t="s">
        <v>1187</v>
      </c>
      <c r="K433" t="b">
        <v>1</v>
      </c>
      <c r="L433" t="b">
        <v>0</v>
      </c>
      <c r="M433" t="s">
        <v>1187</v>
      </c>
      <c r="N433" t="s">
        <v>1291</v>
      </c>
      <c r="O433" t="s">
        <v>1190</v>
      </c>
      <c r="P433" t="s">
        <v>1201</v>
      </c>
      <c r="Q433" t="s">
        <v>2070</v>
      </c>
    </row>
    <row r="434" spans="1:17" x14ac:dyDescent="0.25">
      <c r="A434" t="s">
        <v>41</v>
      </c>
      <c r="B434" t="s">
        <v>2071</v>
      </c>
      <c r="C434" t="s">
        <v>451</v>
      </c>
      <c r="D434" t="s">
        <v>1138</v>
      </c>
      <c r="E434">
        <v>398.3</v>
      </c>
      <c r="F434" t="s">
        <v>2030</v>
      </c>
      <c r="G434" t="s">
        <v>2072</v>
      </c>
      <c r="H434" t="s">
        <v>2030</v>
      </c>
      <c r="I434" t="s">
        <v>1187</v>
      </c>
      <c r="J434" t="s">
        <v>1187</v>
      </c>
      <c r="K434" t="b">
        <v>1</v>
      </c>
      <c r="L434" t="b">
        <v>0</v>
      </c>
      <c r="M434" t="s">
        <v>1187</v>
      </c>
      <c r="N434" t="s">
        <v>1291</v>
      </c>
      <c r="O434" t="s">
        <v>1190</v>
      </c>
      <c r="P434" t="s">
        <v>1201</v>
      </c>
      <c r="Q434" t="s">
        <v>2070</v>
      </c>
    </row>
    <row r="435" spans="1:17" x14ac:dyDescent="0.25">
      <c r="A435" t="s">
        <v>41</v>
      </c>
      <c r="B435" t="s">
        <v>2073</v>
      </c>
      <c r="C435" t="s">
        <v>451</v>
      </c>
      <c r="D435" t="s">
        <v>1139</v>
      </c>
      <c r="E435">
        <v>404.8</v>
      </c>
      <c r="F435" t="s">
        <v>2030</v>
      </c>
      <c r="G435" t="s">
        <v>2074</v>
      </c>
      <c r="H435" t="s">
        <v>2030</v>
      </c>
      <c r="I435" t="s">
        <v>1187</v>
      </c>
      <c r="J435" t="s">
        <v>1187</v>
      </c>
      <c r="K435" t="b">
        <v>1</v>
      </c>
      <c r="L435" t="b">
        <v>0</v>
      </c>
      <c r="M435" t="s">
        <v>1187</v>
      </c>
      <c r="N435" t="s">
        <v>1291</v>
      </c>
      <c r="O435" t="s">
        <v>1190</v>
      </c>
      <c r="P435" t="s">
        <v>1201</v>
      </c>
      <c r="Q435" t="s">
        <v>2070</v>
      </c>
    </row>
    <row r="436" spans="1:17" x14ac:dyDescent="0.25">
      <c r="A436" t="s">
        <v>41</v>
      </c>
      <c r="B436" t="s">
        <v>2075</v>
      </c>
      <c r="C436" t="s">
        <v>451</v>
      </c>
      <c r="D436" t="s">
        <v>1140</v>
      </c>
      <c r="E436">
        <v>413.5</v>
      </c>
      <c r="F436" t="s">
        <v>2030</v>
      </c>
      <c r="G436" t="s">
        <v>2076</v>
      </c>
      <c r="H436" t="s">
        <v>2030</v>
      </c>
      <c r="I436" t="s">
        <v>1187</v>
      </c>
      <c r="J436" t="s">
        <v>1187</v>
      </c>
      <c r="K436" t="b">
        <v>1</v>
      </c>
      <c r="L436" t="b">
        <v>0</v>
      </c>
      <c r="M436" t="s">
        <v>1187</v>
      </c>
      <c r="N436" t="s">
        <v>1291</v>
      </c>
      <c r="O436" t="s">
        <v>1190</v>
      </c>
      <c r="P436" t="s">
        <v>1201</v>
      </c>
      <c r="Q436" t="s">
        <v>2070</v>
      </c>
    </row>
    <row r="437" spans="1:17" x14ac:dyDescent="0.25">
      <c r="A437" t="s">
        <v>41</v>
      </c>
      <c r="B437" t="s">
        <v>2077</v>
      </c>
      <c r="C437" t="s">
        <v>451</v>
      </c>
      <c r="D437" t="s">
        <v>1141</v>
      </c>
      <c r="E437">
        <v>423.3</v>
      </c>
      <c r="F437" t="s">
        <v>2030</v>
      </c>
      <c r="G437" t="s">
        <v>2078</v>
      </c>
      <c r="H437" t="s">
        <v>2030</v>
      </c>
      <c r="I437" t="s">
        <v>1187</v>
      </c>
      <c r="J437" t="s">
        <v>1187</v>
      </c>
      <c r="K437" t="b">
        <v>1</v>
      </c>
      <c r="L437" t="b">
        <v>0</v>
      </c>
      <c r="M437" t="s">
        <v>1187</v>
      </c>
      <c r="N437" t="s">
        <v>1291</v>
      </c>
      <c r="O437" t="s">
        <v>1190</v>
      </c>
      <c r="P437" t="s">
        <v>1201</v>
      </c>
      <c r="Q437" t="s">
        <v>2070</v>
      </c>
    </row>
    <row r="438" spans="1:17" x14ac:dyDescent="0.25">
      <c r="A438" t="s">
        <v>41</v>
      </c>
      <c r="B438" t="s">
        <v>2079</v>
      </c>
      <c r="C438" t="s">
        <v>451</v>
      </c>
      <c r="D438" t="s">
        <v>1142</v>
      </c>
      <c r="E438">
        <v>472.6</v>
      </c>
      <c r="F438" t="s">
        <v>2030</v>
      </c>
      <c r="G438" t="s">
        <v>2080</v>
      </c>
      <c r="H438" t="s">
        <v>2030</v>
      </c>
      <c r="I438" t="s">
        <v>1187</v>
      </c>
      <c r="J438" t="s">
        <v>1187</v>
      </c>
      <c r="K438" t="b">
        <v>1</v>
      </c>
      <c r="L438" t="b">
        <v>0</v>
      </c>
      <c r="M438" t="s">
        <v>1187</v>
      </c>
      <c r="N438" t="s">
        <v>1291</v>
      </c>
      <c r="O438" t="s">
        <v>1190</v>
      </c>
      <c r="P438" t="s">
        <v>1201</v>
      </c>
      <c r="Q438" t="s">
        <v>2070</v>
      </c>
    </row>
    <row r="439" spans="1:17" x14ac:dyDescent="0.25">
      <c r="A439" t="s">
        <v>41</v>
      </c>
      <c r="B439" t="s">
        <v>2081</v>
      </c>
      <c r="C439" t="s">
        <v>451</v>
      </c>
      <c r="D439" t="s">
        <v>1143</v>
      </c>
      <c r="E439">
        <v>464.7</v>
      </c>
      <c r="F439" t="s">
        <v>2030</v>
      </c>
      <c r="G439" t="s">
        <v>2082</v>
      </c>
      <c r="H439" t="s">
        <v>2030</v>
      </c>
      <c r="I439" t="s">
        <v>1187</v>
      </c>
      <c r="J439" t="s">
        <v>1187</v>
      </c>
      <c r="K439" t="b">
        <v>1</v>
      </c>
      <c r="L439" t="b">
        <v>0</v>
      </c>
      <c r="M439" t="s">
        <v>1187</v>
      </c>
      <c r="N439" t="s">
        <v>1291</v>
      </c>
      <c r="O439" t="s">
        <v>1190</v>
      </c>
      <c r="P439" t="s">
        <v>1201</v>
      </c>
      <c r="Q439" t="s">
        <v>2070</v>
      </c>
    </row>
    <row r="440" spans="1:17" x14ac:dyDescent="0.25">
      <c r="A440" t="s">
        <v>41</v>
      </c>
      <c r="B440" t="s">
        <v>2083</v>
      </c>
      <c r="C440" t="s">
        <v>451</v>
      </c>
      <c r="D440" t="s">
        <v>1144</v>
      </c>
      <c r="E440">
        <v>482.4</v>
      </c>
      <c r="F440" t="s">
        <v>2030</v>
      </c>
      <c r="G440" t="s">
        <v>2084</v>
      </c>
      <c r="H440" t="s">
        <v>2030</v>
      </c>
      <c r="I440" t="s">
        <v>1187</v>
      </c>
      <c r="J440" t="s">
        <v>1187</v>
      </c>
      <c r="K440" t="b">
        <v>1</v>
      </c>
      <c r="L440" t="b">
        <v>0</v>
      </c>
      <c r="M440" t="s">
        <v>1187</v>
      </c>
      <c r="N440" t="s">
        <v>1291</v>
      </c>
      <c r="O440" t="s">
        <v>1190</v>
      </c>
      <c r="P440" t="s">
        <v>1201</v>
      </c>
      <c r="Q440" t="s">
        <v>2070</v>
      </c>
    </row>
    <row r="441" spans="1:17" x14ac:dyDescent="0.25">
      <c r="A441" t="s">
        <v>41</v>
      </c>
      <c r="B441" t="s">
        <v>2085</v>
      </c>
      <c r="C441" t="s">
        <v>451</v>
      </c>
      <c r="D441" t="s">
        <v>1145</v>
      </c>
      <c r="E441">
        <v>449</v>
      </c>
      <c r="F441" t="s">
        <v>2030</v>
      </c>
      <c r="G441" t="s">
        <v>2086</v>
      </c>
      <c r="H441" t="s">
        <v>2030</v>
      </c>
      <c r="I441" t="s">
        <v>1187</v>
      </c>
      <c r="J441" t="s">
        <v>1187</v>
      </c>
      <c r="K441" t="b">
        <v>1</v>
      </c>
      <c r="L441" t="b">
        <v>0</v>
      </c>
      <c r="M441" t="s">
        <v>1187</v>
      </c>
      <c r="N441" t="s">
        <v>1291</v>
      </c>
      <c r="O441" t="s">
        <v>1190</v>
      </c>
      <c r="P441" t="s">
        <v>1201</v>
      </c>
      <c r="Q441" t="s">
        <v>2070</v>
      </c>
    </row>
    <row r="442" spans="1:17" x14ac:dyDescent="0.25">
      <c r="A442" t="s">
        <v>41</v>
      </c>
      <c r="B442" t="s">
        <v>2087</v>
      </c>
      <c r="C442" t="s">
        <v>451</v>
      </c>
      <c r="D442" t="s">
        <v>1146</v>
      </c>
      <c r="E442">
        <v>462</v>
      </c>
      <c r="F442" t="s">
        <v>2030</v>
      </c>
      <c r="G442" t="s">
        <v>2088</v>
      </c>
      <c r="H442" t="s">
        <v>2030</v>
      </c>
      <c r="I442" t="s">
        <v>1187</v>
      </c>
      <c r="J442" t="s">
        <v>1187</v>
      </c>
      <c r="K442" t="b">
        <v>1</v>
      </c>
      <c r="L442" t="b">
        <v>0</v>
      </c>
      <c r="M442" t="s">
        <v>1187</v>
      </c>
      <c r="N442" t="s">
        <v>1291</v>
      </c>
      <c r="O442" t="s">
        <v>1190</v>
      </c>
      <c r="P442" t="s">
        <v>1201</v>
      </c>
      <c r="Q442" t="s">
        <v>2070</v>
      </c>
    </row>
    <row r="443" spans="1:17" x14ac:dyDescent="0.25">
      <c r="A443" t="s">
        <v>41</v>
      </c>
      <c r="B443" t="s">
        <v>2089</v>
      </c>
      <c r="C443" t="s">
        <v>451</v>
      </c>
      <c r="D443" t="s">
        <v>1147</v>
      </c>
      <c r="E443">
        <v>433</v>
      </c>
      <c r="F443" t="s">
        <v>2030</v>
      </c>
      <c r="G443" t="s">
        <v>2090</v>
      </c>
      <c r="H443" t="s">
        <v>2030</v>
      </c>
      <c r="I443" t="s">
        <v>1187</v>
      </c>
      <c r="J443" t="s">
        <v>1187</v>
      </c>
      <c r="K443" t="b">
        <v>1</v>
      </c>
      <c r="L443" t="b">
        <v>0</v>
      </c>
      <c r="M443" t="s">
        <v>1187</v>
      </c>
      <c r="N443" t="s">
        <v>1291</v>
      </c>
      <c r="O443" t="s">
        <v>1190</v>
      </c>
      <c r="P443" t="s">
        <v>1201</v>
      </c>
      <c r="Q443" t="s">
        <v>2070</v>
      </c>
    </row>
    <row r="444" spans="1:17" x14ac:dyDescent="0.25">
      <c r="A444" t="s">
        <v>41</v>
      </c>
      <c r="B444" t="s">
        <v>2091</v>
      </c>
      <c r="C444" t="s">
        <v>451</v>
      </c>
      <c r="D444" t="s">
        <v>1232</v>
      </c>
      <c r="E444">
        <v>422</v>
      </c>
      <c r="F444" t="s">
        <v>2030</v>
      </c>
      <c r="G444" t="s">
        <v>2092</v>
      </c>
      <c r="H444" t="s">
        <v>2030</v>
      </c>
      <c r="I444" t="s">
        <v>1187</v>
      </c>
      <c r="J444" t="s">
        <v>1187</v>
      </c>
      <c r="K444" t="b">
        <v>1</v>
      </c>
      <c r="L444" t="b">
        <v>0</v>
      </c>
      <c r="M444" t="s">
        <v>1187</v>
      </c>
      <c r="N444" t="s">
        <v>1291</v>
      </c>
      <c r="O444" t="s">
        <v>1190</v>
      </c>
      <c r="P444" t="s">
        <v>1201</v>
      </c>
      <c r="Q444" t="s">
        <v>2070</v>
      </c>
    </row>
    <row r="445" spans="1:17" x14ac:dyDescent="0.25">
      <c r="A445" t="s">
        <v>41</v>
      </c>
      <c r="B445" t="s">
        <v>2093</v>
      </c>
      <c r="C445" t="s">
        <v>452</v>
      </c>
      <c r="D445" t="s">
        <v>1137</v>
      </c>
      <c r="E445">
        <v>173.3</v>
      </c>
      <c r="F445" t="s">
        <v>2030</v>
      </c>
      <c r="G445" t="s">
        <v>2094</v>
      </c>
      <c r="H445" t="s">
        <v>2030</v>
      </c>
      <c r="I445" t="s">
        <v>1187</v>
      </c>
      <c r="J445" t="s">
        <v>1187</v>
      </c>
      <c r="K445" t="b">
        <v>1</v>
      </c>
      <c r="L445" t="b">
        <v>0</v>
      </c>
      <c r="M445" t="s">
        <v>1187</v>
      </c>
      <c r="N445" t="s">
        <v>1291</v>
      </c>
      <c r="O445" t="s">
        <v>1190</v>
      </c>
      <c r="P445" t="s">
        <v>1201</v>
      </c>
      <c r="Q445" t="s">
        <v>2095</v>
      </c>
    </row>
    <row r="446" spans="1:17" x14ac:dyDescent="0.25">
      <c r="A446" t="s">
        <v>41</v>
      </c>
      <c r="B446" t="s">
        <v>2096</v>
      </c>
      <c r="C446" t="s">
        <v>452</v>
      </c>
      <c r="D446" t="s">
        <v>1138</v>
      </c>
      <c r="E446">
        <v>197.3</v>
      </c>
      <c r="F446" t="s">
        <v>2030</v>
      </c>
      <c r="G446" t="s">
        <v>2097</v>
      </c>
      <c r="H446" t="s">
        <v>2030</v>
      </c>
      <c r="I446" t="s">
        <v>1187</v>
      </c>
      <c r="J446" t="s">
        <v>1187</v>
      </c>
      <c r="K446" t="b">
        <v>1</v>
      </c>
      <c r="L446" t="b">
        <v>0</v>
      </c>
      <c r="M446" t="s">
        <v>1187</v>
      </c>
      <c r="N446" t="s">
        <v>1291</v>
      </c>
      <c r="O446" t="s">
        <v>1190</v>
      </c>
      <c r="P446" t="s">
        <v>1201</v>
      </c>
      <c r="Q446" t="s">
        <v>2095</v>
      </c>
    </row>
    <row r="447" spans="1:17" x14ac:dyDescent="0.25">
      <c r="A447" t="s">
        <v>41</v>
      </c>
      <c r="B447" t="s">
        <v>2098</v>
      </c>
      <c r="C447" t="s">
        <v>452</v>
      </c>
      <c r="D447" t="s">
        <v>1139</v>
      </c>
      <c r="E447">
        <v>206.2</v>
      </c>
      <c r="F447" t="s">
        <v>2030</v>
      </c>
      <c r="G447" t="s">
        <v>2099</v>
      </c>
      <c r="H447" t="s">
        <v>2030</v>
      </c>
      <c r="I447" t="s">
        <v>1187</v>
      </c>
      <c r="J447" t="s">
        <v>1187</v>
      </c>
      <c r="K447" t="b">
        <v>1</v>
      </c>
      <c r="L447" t="b">
        <v>0</v>
      </c>
      <c r="M447" t="s">
        <v>1187</v>
      </c>
      <c r="N447" t="s">
        <v>1291</v>
      </c>
      <c r="O447" t="s">
        <v>1190</v>
      </c>
      <c r="P447" t="s">
        <v>1201</v>
      </c>
      <c r="Q447" t="s">
        <v>2095</v>
      </c>
    </row>
    <row r="448" spans="1:17" x14ac:dyDescent="0.25">
      <c r="A448" t="s">
        <v>41</v>
      </c>
      <c r="B448" t="s">
        <v>2100</v>
      </c>
      <c r="C448" t="s">
        <v>452</v>
      </c>
      <c r="D448" t="s">
        <v>1140</v>
      </c>
      <c r="E448">
        <v>188.6</v>
      </c>
      <c r="F448" t="s">
        <v>2030</v>
      </c>
      <c r="G448" t="s">
        <v>2101</v>
      </c>
      <c r="H448" t="s">
        <v>2030</v>
      </c>
      <c r="I448" t="s">
        <v>1187</v>
      </c>
      <c r="J448" t="s">
        <v>1187</v>
      </c>
      <c r="K448" t="b">
        <v>1</v>
      </c>
      <c r="L448" t="b">
        <v>0</v>
      </c>
      <c r="M448" t="s">
        <v>1187</v>
      </c>
      <c r="N448" t="s">
        <v>1291</v>
      </c>
      <c r="O448" t="s">
        <v>1190</v>
      </c>
      <c r="P448" t="s">
        <v>1201</v>
      </c>
      <c r="Q448" t="s">
        <v>2095</v>
      </c>
    </row>
    <row r="449" spans="1:17" x14ac:dyDescent="0.25">
      <c r="A449" t="s">
        <v>41</v>
      </c>
      <c r="B449" t="s">
        <v>2102</v>
      </c>
      <c r="C449" t="s">
        <v>452</v>
      </c>
      <c r="D449" t="s">
        <v>1141</v>
      </c>
      <c r="E449">
        <v>182.8</v>
      </c>
      <c r="F449" t="s">
        <v>2030</v>
      </c>
      <c r="G449" t="s">
        <v>2103</v>
      </c>
      <c r="H449" t="s">
        <v>2030</v>
      </c>
      <c r="I449" t="s">
        <v>1187</v>
      </c>
      <c r="J449" t="s">
        <v>1187</v>
      </c>
      <c r="K449" t="b">
        <v>1</v>
      </c>
      <c r="L449" t="b">
        <v>0</v>
      </c>
      <c r="M449" t="s">
        <v>1187</v>
      </c>
      <c r="N449" t="s">
        <v>1291</v>
      </c>
      <c r="O449" t="s">
        <v>1190</v>
      </c>
      <c r="P449" t="s">
        <v>1201</v>
      </c>
      <c r="Q449" t="s">
        <v>2095</v>
      </c>
    </row>
    <row r="450" spans="1:17" x14ac:dyDescent="0.25">
      <c r="A450" t="s">
        <v>41</v>
      </c>
      <c r="B450" t="s">
        <v>2104</v>
      </c>
      <c r="C450" t="s">
        <v>452</v>
      </c>
      <c r="D450" t="s">
        <v>1142</v>
      </c>
      <c r="E450">
        <v>208.2</v>
      </c>
      <c r="F450" t="s">
        <v>2030</v>
      </c>
      <c r="G450" t="s">
        <v>2105</v>
      </c>
      <c r="H450" t="s">
        <v>2030</v>
      </c>
      <c r="I450" t="s">
        <v>1187</v>
      </c>
      <c r="J450" t="s">
        <v>1187</v>
      </c>
      <c r="K450" t="b">
        <v>1</v>
      </c>
      <c r="L450" t="b">
        <v>0</v>
      </c>
      <c r="M450" t="s">
        <v>1187</v>
      </c>
      <c r="N450" t="s">
        <v>1291</v>
      </c>
      <c r="O450" t="s">
        <v>1190</v>
      </c>
      <c r="P450" t="s">
        <v>1201</v>
      </c>
      <c r="Q450" t="s">
        <v>2095</v>
      </c>
    </row>
    <row r="451" spans="1:17" x14ac:dyDescent="0.25">
      <c r="A451" t="s">
        <v>41</v>
      </c>
      <c r="B451" t="s">
        <v>2106</v>
      </c>
      <c r="C451" t="s">
        <v>452</v>
      </c>
      <c r="D451" t="s">
        <v>1143</v>
      </c>
      <c r="E451">
        <v>211.6</v>
      </c>
      <c r="F451" t="s">
        <v>2030</v>
      </c>
      <c r="G451" t="s">
        <v>2107</v>
      </c>
      <c r="H451" t="s">
        <v>2030</v>
      </c>
      <c r="I451" t="s">
        <v>1187</v>
      </c>
      <c r="J451" t="s">
        <v>1187</v>
      </c>
      <c r="K451" t="b">
        <v>1</v>
      </c>
      <c r="L451" t="b">
        <v>0</v>
      </c>
      <c r="M451" t="s">
        <v>1187</v>
      </c>
      <c r="N451" t="s">
        <v>1291</v>
      </c>
      <c r="O451" t="s">
        <v>1190</v>
      </c>
      <c r="P451" t="s">
        <v>1201</v>
      </c>
      <c r="Q451" t="s">
        <v>2095</v>
      </c>
    </row>
    <row r="452" spans="1:17" x14ac:dyDescent="0.25">
      <c r="A452" t="s">
        <v>41</v>
      </c>
      <c r="B452" t="s">
        <v>2108</v>
      </c>
      <c r="C452" t="s">
        <v>452</v>
      </c>
      <c r="D452" t="s">
        <v>1144</v>
      </c>
      <c r="E452">
        <v>202.4</v>
      </c>
      <c r="F452" t="s">
        <v>2030</v>
      </c>
      <c r="G452" t="s">
        <v>2109</v>
      </c>
      <c r="H452" t="s">
        <v>2030</v>
      </c>
      <c r="I452" t="s">
        <v>1187</v>
      </c>
      <c r="J452" t="s">
        <v>1187</v>
      </c>
      <c r="K452" t="b">
        <v>1</v>
      </c>
      <c r="L452" t="b">
        <v>0</v>
      </c>
      <c r="M452" t="s">
        <v>1187</v>
      </c>
      <c r="N452" t="s">
        <v>1291</v>
      </c>
      <c r="O452" t="s">
        <v>1190</v>
      </c>
      <c r="P452" t="s">
        <v>1201</v>
      </c>
      <c r="Q452" t="s">
        <v>2095</v>
      </c>
    </row>
    <row r="453" spans="1:17" x14ac:dyDescent="0.25">
      <c r="A453" t="s">
        <v>41</v>
      </c>
      <c r="B453" t="s">
        <v>2110</v>
      </c>
      <c r="C453" t="s">
        <v>452</v>
      </c>
      <c r="D453" t="s">
        <v>1145</v>
      </c>
      <c r="E453">
        <v>188</v>
      </c>
      <c r="F453" t="s">
        <v>2030</v>
      </c>
      <c r="G453" t="s">
        <v>2111</v>
      </c>
      <c r="H453" t="s">
        <v>2030</v>
      </c>
      <c r="I453" t="s">
        <v>1187</v>
      </c>
      <c r="J453" t="s">
        <v>1187</v>
      </c>
      <c r="K453" t="b">
        <v>1</v>
      </c>
      <c r="L453" t="b">
        <v>0</v>
      </c>
      <c r="M453" t="s">
        <v>1187</v>
      </c>
      <c r="N453" t="s">
        <v>1291</v>
      </c>
      <c r="O453" t="s">
        <v>1190</v>
      </c>
      <c r="P453" t="s">
        <v>1201</v>
      </c>
      <c r="Q453" t="s">
        <v>2095</v>
      </c>
    </row>
    <row r="454" spans="1:17" x14ac:dyDescent="0.25">
      <c r="A454" t="s">
        <v>41</v>
      </c>
      <c r="B454" t="s">
        <v>2112</v>
      </c>
      <c r="C454" t="s">
        <v>452</v>
      </c>
      <c r="D454" t="s">
        <v>1146</v>
      </c>
      <c r="E454">
        <v>221</v>
      </c>
      <c r="F454" t="s">
        <v>2030</v>
      </c>
      <c r="G454" t="s">
        <v>2113</v>
      </c>
      <c r="H454" t="s">
        <v>2030</v>
      </c>
      <c r="I454" t="s">
        <v>1187</v>
      </c>
      <c r="J454" t="s">
        <v>1187</v>
      </c>
      <c r="K454" t="b">
        <v>1</v>
      </c>
      <c r="L454" t="b">
        <v>0</v>
      </c>
      <c r="M454" t="s">
        <v>1187</v>
      </c>
      <c r="N454" t="s">
        <v>1291</v>
      </c>
      <c r="O454" t="s">
        <v>1190</v>
      </c>
      <c r="P454" t="s">
        <v>1201</v>
      </c>
      <c r="Q454" t="s">
        <v>2095</v>
      </c>
    </row>
    <row r="455" spans="1:17" x14ac:dyDescent="0.25">
      <c r="A455" t="s">
        <v>41</v>
      </c>
      <c r="B455" t="s">
        <v>2114</v>
      </c>
      <c r="C455" t="s">
        <v>452</v>
      </c>
      <c r="D455" t="s">
        <v>1147</v>
      </c>
      <c r="E455">
        <v>224</v>
      </c>
      <c r="F455" t="s">
        <v>2030</v>
      </c>
      <c r="G455" t="s">
        <v>2115</v>
      </c>
      <c r="H455" t="s">
        <v>2030</v>
      </c>
      <c r="I455" t="s">
        <v>1187</v>
      </c>
      <c r="J455" t="s">
        <v>1187</v>
      </c>
      <c r="K455" t="b">
        <v>1</v>
      </c>
      <c r="L455" t="b">
        <v>0</v>
      </c>
      <c r="M455" t="s">
        <v>1187</v>
      </c>
      <c r="N455" t="s">
        <v>1291</v>
      </c>
      <c r="O455" t="s">
        <v>1190</v>
      </c>
      <c r="P455" t="s">
        <v>1201</v>
      </c>
      <c r="Q455" t="s">
        <v>2095</v>
      </c>
    </row>
    <row r="456" spans="1:17" x14ac:dyDescent="0.25">
      <c r="A456" t="s">
        <v>41</v>
      </c>
      <c r="B456" t="s">
        <v>2116</v>
      </c>
      <c r="C456" t="s">
        <v>452</v>
      </c>
      <c r="D456" t="s">
        <v>1232</v>
      </c>
      <c r="E456">
        <v>215</v>
      </c>
      <c r="F456" t="s">
        <v>2030</v>
      </c>
      <c r="G456" t="s">
        <v>2117</v>
      </c>
      <c r="H456" t="s">
        <v>2030</v>
      </c>
      <c r="I456" t="s">
        <v>1187</v>
      </c>
      <c r="J456" t="s">
        <v>1187</v>
      </c>
      <c r="K456" t="b">
        <v>1</v>
      </c>
      <c r="L456" t="b">
        <v>0</v>
      </c>
      <c r="M456" t="s">
        <v>1187</v>
      </c>
      <c r="N456" t="s">
        <v>1291</v>
      </c>
      <c r="O456" t="s">
        <v>1190</v>
      </c>
      <c r="P456" t="s">
        <v>1201</v>
      </c>
      <c r="Q456" t="s">
        <v>2095</v>
      </c>
    </row>
    <row r="457" spans="1:17" x14ac:dyDescent="0.25">
      <c r="A457" t="s">
        <v>41</v>
      </c>
      <c r="B457" t="s">
        <v>2118</v>
      </c>
      <c r="C457" t="s">
        <v>453</v>
      </c>
      <c r="D457" t="s">
        <v>1137</v>
      </c>
      <c r="E457">
        <v>148.5</v>
      </c>
      <c r="F457" t="s">
        <v>2030</v>
      </c>
      <c r="G457" t="s">
        <v>2119</v>
      </c>
      <c r="H457" t="s">
        <v>2030</v>
      </c>
      <c r="I457" t="s">
        <v>1187</v>
      </c>
      <c r="J457" t="s">
        <v>1187</v>
      </c>
      <c r="K457" t="b">
        <v>1</v>
      </c>
      <c r="L457" t="b">
        <v>0</v>
      </c>
      <c r="M457" t="s">
        <v>1187</v>
      </c>
      <c r="N457" t="s">
        <v>1291</v>
      </c>
      <c r="O457" t="s">
        <v>1190</v>
      </c>
      <c r="P457" t="s">
        <v>1201</v>
      </c>
      <c r="Q457" t="s">
        <v>2120</v>
      </c>
    </row>
    <row r="458" spans="1:17" x14ac:dyDescent="0.25">
      <c r="A458" t="s">
        <v>41</v>
      </c>
      <c r="B458" t="s">
        <v>2121</v>
      </c>
      <c r="C458" t="s">
        <v>453</v>
      </c>
      <c r="D458" t="s">
        <v>1138</v>
      </c>
      <c r="E458">
        <v>156.3</v>
      </c>
      <c r="F458" t="s">
        <v>2030</v>
      </c>
      <c r="G458" t="s">
        <v>2122</v>
      </c>
      <c r="H458" t="s">
        <v>2030</v>
      </c>
      <c r="I458" t="s">
        <v>1187</v>
      </c>
      <c r="J458" t="s">
        <v>1187</v>
      </c>
      <c r="K458" t="b">
        <v>1</v>
      </c>
      <c r="L458" t="b">
        <v>0</v>
      </c>
      <c r="M458" t="s">
        <v>1187</v>
      </c>
      <c r="N458" t="s">
        <v>1291</v>
      </c>
      <c r="O458" t="s">
        <v>1190</v>
      </c>
      <c r="P458" t="s">
        <v>1201</v>
      </c>
      <c r="Q458" t="s">
        <v>2120</v>
      </c>
    </row>
    <row r="459" spans="1:17" x14ac:dyDescent="0.25">
      <c r="A459" t="s">
        <v>41</v>
      </c>
      <c r="B459" t="s">
        <v>2123</v>
      </c>
      <c r="C459" t="s">
        <v>453</v>
      </c>
      <c r="D459" t="s">
        <v>1139</v>
      </c>
      <c r="E459">
        <v>162.1</v>
      </c>
      <c r="F459" t="s">
        <v>2030</v>
      </c>
      <c r="G459" t="s">
        <v>2124</v>
      </c>
      <c r="H459" t="s">
        <v>2030</v>
      </c>
      <c r="I459" t="s">
        <v>1187</v>
      </c>
      <c r="J459" t="s">
        <v>1187</v>
      </c>
      <c r="K459" t="b">
        <v>1</v>
      </c>
      <c r="L459" t="b">
        <v>0</v>
      </c>
      <c r="M459" t="s">
        <v>1187</v>
      </c>
      <c r="N459" t="s">
        <v>1291</v>
      </c>
      <c r="O459" t="s">
        <v>1190</v>
      </c>
      <c r="P459" t="s">
        <v>1201</v>
      </c>
      <c r="Q459" t="s">
        <v>2120</v>
      </c>
    </row>
    <row r="460" spans="1:17" x14ac:dyDescent="0.25">
      <c r="A460" t="s">
        <v>41</v>
      </c>
      <c r="B460" t="s">
        <v>2125</v>
      </c>
      <c r="C460" t="s">
        <v>453</v>
      </c>
      <c r="D460" t="s">
        <v>1140</v>
      </c>
      <c r="E460">
        <v>175</v>
      </c>
      <c r="F460" t="s">
        <v>2030</v>
      </c>
      <c r="G460" t="s">
        <v>2126</v>
      </c>
      <c r="H460" t="s">
        <v>2030</v>
      </c>
      <c r="I460" t="s">
        <v>1187</v>
      </c>
      <c r="J460" t="s">
        <v>1187</v>
      </c>
      <c r="K460" t="b">
        <v>1</v>
      </c>
      <c r="L460" t="b">
        <v>0</v>
      </c>
      <c r="M460" t="s">
        <v>1187</v>
      </c>
      <c r="N460" t="s">
        <v>1291</v>
      </c>
      <c r="O460" t="s">
        <v>1190</v>
      </c>
      <c r="P460" t="s">
        <v>1201</v>
      </c>
      <c r="Q460" t="s">
        <v>2120</v>
      </c>
    </row>
    <row r="461" spans="1:17" x14ac:dyDescent="0.25">
      <c r="A461" t="s">
        <v>41</v>
      </c>
      <c r="B461" t="s">
        <v>2127</v>
      </c>
      <c r="C461" t="s">
        <v>453</v>
      </c>
      <c r="D461" t="s">
        <v>1141</v>
      </c>
      <c r="E461">
        <v>188.4</v>
      </c>
      <c r="F461" t="s">
        <v>2030</v>
      </c>
      <c r="G461" t="s">
        <v>2128</v>
      </c>
      <c r="H461" t="s">
        <v>2030</v>
      </c>
      <c r="I461" t="s">
        <v>1187</v>
      </c>
      <c r="J461" t="s">
        <v>1187</v>
      </c>
      <c r="K461" t="b">
        <v>1</v>
      </c>
      <c r="L461" t="b">
        <v>0</v>
      </c>
      <c r="M461" t="s">
        <v>1187</v>
      </c>
      <c r="N461" t="s">
        <v>1291</v>
      </c>
      <c r="O461" t="s">
        <v>1190</v>
      </c>
      <c r="P461" t="s">
        <v>1201</v>
      </c>
      <c r="Q461" t="s">
        <v>2120</v>
      </c>
    </row>
    <row r="462" spans="1:17" x14ac:dyDescent="0.25">
      <c r="A462" t="s">
        <v>41</v>
      </c>
      <c r="B462" t="s">
        <v>2129</v>
      </c>
      <c r="C462" t="s">
        <v>453</v>
      </c>
      <c r="D462" t="s">
        <v>1142</v>
      </c>
      <c r="E462">
        <v>204.2</v>
      </c>
      <c r="F462" t="s">
        <v>2030</v>
      </c>
      <c r="G462" t="s">
        <v>2130</v>
      </c>
      <c r="H462" t="s">
        <v>2030</v>
      </c>
      <c r="I462" t="s">
        <v>1187</v>
      </c>
      <c r="J462" t="s">
        <v>1187</v>
      </c>
      <c r="K462" t="b">
        <v>1</v>
      </c>
      <c r="L462" t="b">
        <v>0</v>
      </c>
      <c r="M462" t="s">
        <v>1187</v>
      </c>
      <c r="N462" t="s">
        <v>1291</v>
      </c>
      <c r="O462" t="s">
        <v>1190</v>
      </c>
      <c r="P462" t="s">
        <v>1201</v>
      </c>
      <c r="Q462" t="s">
        <v>2120</v>
      </c>
    </row>
    <row r="463" spans="1:17" x14ac:dyDescent="0.25">
      <c r="A463" t="s">
        <v>41</v>
      </c>
      <c r="B463" t="s">
        <v>2131</v>
      </c>
      <c r="C463" t="s">
        <v>453</v>
      </c>
      <c r="D463" t="s">
        <v>1143</v>
      </c>
      <c r="E463">
        <v>205.3</v>
      </c>
      <c r="F463" t="s">
        <v>2030</v>
      </c>
      <c r="G463" t="s">
        <v>2132</v>
      </c>
      <c r="H463" t="s">
        <v>2030</v>
      </c>
      <c r="I463" t="s">
        <v>1187</v>
      </c>
      <c r="J463" t="s">
        <v>1187</v>
      </c>
      <c r="K463" t="b">
        <v>1</v>
      </c>
      <c r="L463" t="b">
        <v>0</v>
      </c>
      <c r="M463" t="s">
        <v>1187</v>
      </c>
      <c r="N463" t="s">
        <v>1291</v>
      </c>
      <c r="O463" t="s">
        <v>1190</v>
      </c>
      <c r="P463" t="s">
        <v>1201</v>
      </c>
      <c r="Q463" t="s">
        <v>2120</v>
      </c>
    </row>
    <row r="464" spans="1:17" x14ac:dyDescent="0.25">
      <c r="A464" t="s">
        <v>41</v>
      </c>
      <c r="B464" t="s">
        <v>2133</v>
      </c>
      <c r="C464" t="s">
        <v>453</v>
      </c>
      <c r="D464" t="s">
        <v>1144</v>
      </c>
      <c r="E464">
        <v>190.1</v>
      </c>
      <c r="F464" t="s">
        <v>2030</v>
      </c>
      <c r="G464" t="s">
        <v>2134</v>
      </c>
      <c r="H464" t="s">
        <v>2030</v>
      </c>
      <c r="I464" t="s">
        <v>1187</v>
      </c>
      <c r="J464" t="s">
        <v>1187</v>
      </c>
      <c r="K464" t="b">
        <v>1</v>
      </c>
      <c r="L464" t="b">
        <v>0</v>
      </c>
      <c r="M464" t="s">
        <v>1187</v>
      </c>
      <c r="N464" t="s">
        <v>1291</v>
      </c>
      <c r="O464" t="s">
        <v>1190</v>
      </c>
      <c r="P464" t="s">
        <v>1201</v>
      </c>
      <c r="Q464" t="s">
        <v>2120</v>
      </c>
    </row>
    <row r="465" spans="1:17" x14ac:dyDescent="0.25">
      <c r="A465" t="s">
        <v>41</v>
      </c>
      <c r="B465" t="s">
        <v>2135</v>
      </c>
      <c r="C465" t="s">
        <v>453</v>
      </c>
      <c r="D465" t="s">
        <v>1145</v>
      </c>
      <c r="E465">
        <v>208</v>
      </c>
      <c r="F465" t="s">
        <v>2030</v>
      </c>
      <c r="G465" t="s">
        <v>2136</v>
      </c>
      <c r="H465" t="s">
        <v>2030</v>
      </c>
      <c r="I465" t="s">
        <v>1187</v>
      </c>
      <c r="J465" t="s">
        <v>1187</v>
      </c>
      <c r="K465" t="b">
        <v>1</v>
      </c>
      <c r="L465" t="b">
        <v>0</v>
      </c>
      <c r="M465" t="s">
        <v>1187</v>
      </c>
      <c r="N465" t="s">
        <v>1291</v>
      </c>
      <c r="O465" t="s">
        <v>1190</v>
      </c>
      <c r="P465" t="s">
        <v>1201</v>
      </c>
      <c r="Q465" t="s">
        <v>2120</v>
      </c>
    </row>
    <row r="466" spans="1:17" x14ac:dyDescent="0.25">
      <c r="A466" t="s">
        <v>41</v>
      </c>
      <c r="B466" t="s">
        <v>2137</v>
      </c>
      <c r="C466" t="s">
        <v>453</v>
      </c>
      <c r="D466" t="s">
        <v>1146</v>
      </c>
      <c r="E466">
        <v>214</v>
      </c>
      <c r="F466" t="s">
        <v>2030</v>
      </c>
      <c r="G466" t="s">
        <v>2138</v>
      </c>
      <c r="H466" t="s">
        <v>2030</v>
      </c>
      <c r="I466" t="s">
        <v>1187</v>
      </c>
      <c r="J466" t="s">
        <v>1187</v>
      </c>
      <c r="K466" t="b">
        <v>1</v>
      </c>
      <c r="L466" t="b">
        <v>0</v>
      </c>
      <c r="M466" t="s">
        <v>1187</v>
      </c>
      <c r="N466" t="s">
        <v>1291</v>
      </c>
      <c r="O466" t="s">
        <v>1190</v>
      </c>
      <c r="P466" t="s">
        <v>1201</v>
      </c>
      <c r="Q466" t="s">
        <v>2120</v>
      </c>
    </row>
    <row r="467" spans="1:17" x14ac:dyDescent="0.25">
      <c r="A467" t="s">
        <v>41</v>
      </c>
      <c r="B467" t="s">
        <v>2139</v>
      </c>
      <c r="C467" t="s">
        <v>453</v>
      </c>
      <c r="D467" t="s">
        <v>1147</v>
      </c>
      <c r="E467">
        <v>204</v>
      </c>
      <c r="F467" t="s">
        <v>2030</v>
      </c>
      <c r="G467" t="s">
        <v>2140</v>
      </c>
      <c r="H467" t="s">
        <v>2030</v>
      </c>
      <c r="I467" t="s">
        <v>1187</v>
      </c>
      <c r="J467" t="s">
        <v>1187</v>
      </c>
      <c r="K467" t="b">
        <v>1</v>
      </c>
      <c r="L467" t="b">
        <v>0</v>
      </c>
      <c r="M467" t="s">
        <v>1187</v>
      </c>
      <c r="N467" t="s">
        <v>1291</v>
      </c>
      <c r="O467" t="s">
        <v>1190</v>
      </c>
      <c r="P467" t="s">
        <v>1201</v>
      </c>
      <c r="Q467" t="s">
        <v>2120</v>
      </c>
    </row>
    <row r="468" spans="1:17" x14ac:dyDescent="0.25">
      <c r="A468" t="s">
        <v>41</v>
      </c>
      <c r="B468" t="s">
        <v>2141</v>
      </c>
      <c r="C468" t="s">
        <v>453</v>
      </c>
      <c r="D468" t="s">
        <v>1232</v>
      </c>
      <c r="E468">
        <v>198</v>
      </c>
      <c r="F468" t="s">
        <v>2030</v>
      </c>
      <c r="G468" t="s">
        <v>2142</v>
      </c>
      <c r="H468" t="s">
        <v>2030</v>
      </c>
      <c r="I468" t="s">
        <v>1187</v>
      </c>
      <c r="J468" t="s">
        <v>1187</v>
      </c>
      <c r="K468" t="b">
        <v>1</v>
      </c>
      <c r="L468" t="b">
        <v>0</v>
      </c>
      <c r="M468" t="s">
        <v>1187</v>
      </c>
      <c r="N468" t="s">
        <v>1291</v>
      </c>
      <c r="O468" t="s">
        <v>1190</v>
      </c>
      <c r="P468" t="s">
        <v>1201</v>
      </c>
      <c r="Q468" t="s">
        <v>2120</v>
      </c>
    </row>
    <row r="469" spans="1:17" x14ac:dyDescent="0.25">
      <c r="A469" t="s">
        <v>41</v>
      </c>
      <c r="B469" t="s">
        <v>1289</v>
      </c>
      <c r="C469" t="s">
        <v>449</v>
      </c>
      <c r="D469" t="s">
        <v>1137</v>
      </c>
      <c r="E469">
        <v>0</v>
      </c>
      <c r="F469" t="s">
        <v>1186</v>
      </c>
      <c r="G469" t="s">
        <v>1187</v>
      </c>
      <c r="H469" t="s">
        <v>2030</v>
      </c>
      <c r="I469" t="s">
        <v>1187</v>
      </c>
      <c r="J469" t="s">
        <v>1187</v>
      </c>
      <c r="K469" t="b">
        <v>1</v>
      </c>
      <c r="L469" t="b">
        <v>0</v>
      </c>
      <c r="M469" t="s">
        <v>1187</v>
      </c>
      <c r="N469" t="s">
        <v>1189</v>
      </c>
      <c r="O469" t="s">
        <v>1949</v>
      </c>
      <c r="P469" t="s">
        <v>2031</v>
      </c>
      <c r="Q469" t="s">
        <v>2032</v>
      </c>
    </row>
    <row r="470" spans="1:17" x14ac:dyDescent="0.25">
      <c r="A470" t="s">
        <v>41</v>
      </c>
      <c r="B470" t="s">
        <v>1293</v>
      </c>
      <c r="C470" t="s">
        <v>449</v>
      </c>
      <c r="D470" t="s">
        <v>1138</v>
      </c>
      <c r="E470">
        <v>0</v>
      </c>
      <c r="F470" t="s">
        <v>1186</v>
      </c>
      <c r="G470" t="s">
        <v>1187</v>
      </c>
      <c r="H470" t="s">
        <v>2030</v>
      </c>
      <c r="I470" t="s">
        <v>1187</v>
      </c>
      <c r="J470" t="s">
        <v>1187</v>
      </c>
      <c r="K470" t="b">
        <v>1</v>
      </c>
      <c r="L470" t="b">
        <v>0</v>
      </c>
      <c r="M470" t="s">
        <v>1187</v>
      </c>
      <c r="N470" t="s">
        <v>1189</v>
      </c>
      <c r="O470" t="s">
        <v>1949</v>
      </c>
      <c r="P470" t="s">
        <v>2031</v>
      </c>
      <c r="Q470" t="s">
        <v>2032</v>
      </c>
    </row>
    <row r="471" spans="1:17" x14ac:dyDescent="0.25">
      <c r="A471" t="s">
        <v>41</v>
      </c>
      <c r="B471" t="s">
        <v>1294</v>
      </c>
      <c r="C471" t="s">
        <v>449</v>
      </c>
      <c r="D471" t="s">
        <v>1139</v>
      </c>
      <c r="E471">
        <v>0</v>
      </c>
      <c r="F471" t="s">
        <v>1186</v>
      </c>
      <c r="G471" t="s">
        <v>1187</v>
      </c>
      <c r="H471" t="s">
        <v>2030</v>
      </c>
      <c r="I471" t="s">
        <v>1187</v>
      </c>
      <c r="J471" t="s">
        <v>1187</v>
      </c>
      <c r="K471" t="b">
        <v>1</v>
      </c>
      <c r="L471" t="b">
        <v>0</v>
      </c>
      <c r="M471" t="s">
        <v>1187</v>
      </c>
      <c r="N471" t="s">
        <v>1189</v>
      </c>
      <c r="O471" t="s">
        <v>1949</v>
      </c>
      <c r="P471" t="s">
        <v>2031</v>
      </c>
      <c r="Q471" t="s">
        <v>2032</v>
      </c>
    </row>
    <row r="472" spans="1:17" x14ac:dyDescent="0.25">
      <c r="A472" t="s">
        <v>41</v>
      </c>
      <c r="B472" t="s">
        <v>1295</v>
      </c>
      <c r="C472" t="s">
        <v>449</v>
      </c>
      <c r="D472" t="s">
        <v>1140</v>
      </c>
      <c r="E472">
        <v>0</v>
      </c>
      <c r="F472" t="s">
        <v>1186</v>
      </c>
      <c r="G472" t="s">
        <v>1187</v>
      </c>
      <c r="H472" t="s">
        <v>2030</v>
      </c>
      <c r="I472" t="s">
        <v>1187</v>
      </c>
      <c r="J472" t="s">
        <v>1187</v>
      </c>
      <c r="K472" t="b">
        <v>1</v>
      </c>
      <c r="L472" t="b">
        <v>0</v>
      </c>
      <c r="M472" t="s">
        <v>1187</v>
      </c>
      <c r="N472" t="s">
        <v>1189</v>
      </c>
      <c r="O472" t="s">
        <v>1949</v>
      </c>
      <c r="P472" t="s">
        <v>2031</v>
      </c>
      <c r="Q472" t="s">
        <v>2032</v>
      </c>
    </row>
    <row r="473" spans="1:17" x14ac:dyDescent="0.25">
      <c r="A473" t="s">
        <v>41</v>
      </c>
      <c r="B473" t="s">
        <v>1297</v>
      </c>
      <c r="C473" t="s">
        <v>449</v>
      </c>
      <c r="D473" t="s">
        <v>1141</v>
      </c>
      <c r="E473">
        <v>0</v>
      </c>
      <c r="F473" t="s">
        <v>1186</v>
      </c>
      <c r="G473" t="s">
        <v>1187</v>
      </c>
      <c r="H473" t="s">
        <v>2030</v>
      </c>
      <c r="I473" t="s">
        <v>1187</v>
      </c>
      <c r="J473" t="s">
        <v>1187</v>
      </c>
      <c r="K473" t="b">
        <v>1</v>
      </c>
      <c r="L473" t="b">
        <v>0</v>
      </c>
      <c r="M473" t="s">
        <v>1187</v>
      </c>
      <c r="N473" t="s">
        <v>1189</v>
      </c>
      <c r="O473" t="s">
        <v>1949</v>
      </c>
      <c r="P473" t="s">
        <v>2031</v>
      </c>
      <c r="Q473" t="s">
        <v>2032</v>
      </c>
    </row>
    <row r="474" spans="1:17" x14ac:dyDescent="0.25">
      <c r="A474" t="s">
        <v>41</v>
      </c>
      <c r="B474" t="s">
        <v>1298</v>
      </c>
      <c r="C474" t="s">
        <v>449</v>
      </c>
      <c r="D474" t="s">
        <v>1142</v>
      </c>
      <c r="E474">
        <v>0</v>
      </c>
      <c r="F474" t="s">
        <v>1186</v>
      </c>
      <c r="G474" t="s">
        <v>1187</v>
      </c>
      <c r="H474" t="s">
        <v>2030</v>
      </c>
      <c r="I474" t="s">
        <v>1187</v>
      </c>
      <c r="J474" t="s">
        <v>1187</v>
      </c>
      <c r="K474" t="b">
        <v>1</v>
      </c>
      <c r="L474" t="b">
        <v>0</v>
      </c>
      <c r="M474" t="s">
        <v>1187</v>
      </c>
      <c r="N474" t="s">
        <v>1189</v>
      </c>
      <c r="O474" t="s">
        <v>1949</v>
      </c>
      <c r="P474" t="s">
        <v>2031</v>
      </c>
      <c r="Q474" t="s">
        <v>2032</v>
      </c>
    </row>
    <row r="475" spans="1:17" x14ac:dyDescent="0.25">
      <c r="A475" t="s">
        <v>41</v>
      </c>
      <c r="B475" t="s">
        <v>1299</v>
      </c>
      <c r="C475" t="s">
        <v>449</v>
      </c>
      <c r="D475" t="s">
        <v>1143</v>
      </c>
      <c r="E475">
        <v>0</v>
      </c>
      <c r="F475" t="s">
        <v>1186</v>
      </c>
      <c r="G475" t="s">
        <v>1187</v>
      </c>
      <c r="H475" t="s">
        <v>2030</v>
      </c>
      <c r="I475" t="s">
        <v>1187</v>
      </c>
      <c r="J475" t="s">
        <v>1187</v>
      </c>
      <c r="K475" t="b">
        <v>1</v>
      </c>
      <c r="L475" t="b">
        <v>0</v>
      </c>
      <c r="M475" t="s">
        <v>1187</v>
      </c>
      <c r="N475" t="s">
        <v>1189</v>
      </c>
      <c r="O475" t="s">
        <v>1949</v>
      </c>
      <c r="P475" t="s">
        <v>2031</v>
      </c>
      <c r="Q475" t="s">
        <v>2032</v>
      </c>
    </row>
    <row r="476" spans="1:17" x14ac:dyDescent="0.25">
      <c r="A476" t="s">
        <v>41</v>
      </c>
      <c r="B476" t="s">
        <v>1300</v>
      </c>
      <c r="C476" t="s">
        <v>449</v>
      </c>
      <c r="D476" t="s">
        <v>1144</v>
      </c>
      <c r="E476">
        <v>0</v>
      </c>
      <c r="F476" t="s">
        <v>1186</v>
      </c>
      <c r="G476" t="s">
        <v>1187</v>
      </c>
      <c r="H476" t="s">
        <v>2030</v>
      </c>
      <c r="I476" t="s">
        <v>1187</v>
      </c>
      <c r="J476" t="s">
        <v>1187</v>
      </c>
      <c r="K476" t="b">
        <v>1</v>
      </c>
      <c r="L476" t="b">
        <v>0</v>
      </c>
      <c r="M476" t="s">
        <v>1187</v>
      </c>
      <c r="N476" t="s">
        <v>1189</v>
      </c>
      <c r="O476" t="s">
        <v>1949</v>
      </c>
      <c r="P476" t="s">
        <v>2031</v>
      </c>
      <c r="Q476" t="s">
        <v>2032</v>
      </c>
    </row>
    <row r="477" spans="1:17" x14ac:dyDescent="0.25">
      <c r="A477" t="s">
        <v>41</v>
      </c>
      <c r="B477" t="s">
        <v>1302</v>
      </c>
      <c r="C477" t="s">
        <v>449</v>
      </c>
      <c r="D477" t="s">
        <v>1145</v>
      </c>
      <c r="E477">
        <v>0</v>
      </c>
      <c r="F477" t="s">
        <v>1186</v>
      </c>
      <c r="G477" t="s">
        <v>1187</v>
      </c>
      <c r="H477" t="s">
        <v>2030</v>
      </c>
      <c r="I477" t="s">
        <v>1187</v>
      </c>
      <c r="J477" t="s">
        <v>1187</v>
      </c>
      <c r="K477" t="b">
        <v>1</v>
      </c>
      <c r="L477" t="b">
        <v>0</v>
      </c>
      <c r="M477" t="s">
        <v>1187</v>
      </c>
      <c r="N477" t="s">
        <v>1189</v>
      </c>
      <c r="O477" t="s">
        <v>1949</v>
      </c>
      <c r="P477" t="s">
        <v>2031</v>
      </c>
      <c r="Q477" t="s">
        <v>2032</v>
      </c>
    </row>
    <row r="478" spans="1:17" x14ac:dyDescent="0.25">
      <c r="A478" t="s">
        <v>41</v>
      </c>
      <c r="B478" t="s">
        <v>1303</v>
      </c>
      <c r="C478" t="s">
        <v>449</v>
      </c>
      <c r="D478" t="s">
        <v>1146</v>
      </c>
      <c r="E478">
        <v>0</v>
      </c>
      <c r="F478" t="s">
        <v>1186</v>
      </c>
      <c r="G478" t="s">
        <v>1187</v>
      </c>
      <c r="H478" t="s">
        <v>2030</v>
      </c>
      <c r="I478" t="s">
        <v>1187</v>
      </c>
      <c r="J478" t="s">
        <v>1187</v>
      </c>
      <c r="K478" t="b">
        <v>1</v>
      </c>
      <c r="L478" t="b">
        <v>0</v>
      </c>
      <c r="M478" t="s">
        <v>1187</v>
      </c>
      <c r="N478" t="s">
        <v>1189</v>
      </c>
      <c r="O478" t="s">
        <v>1949</v>
      </c>
      <c r="P478" t="s">
        <v>2031</v>
      </c>
      <c r="Q478" t="s">
        <v>2032</v>
      </c>
    </row>
    <row r="479" spans="1:17" x14ac:dyDescent="0.25">
      <c r="A479" t="s">
        <v>41</v>
      </c>
      <c r="B479" t="s">
        <v>1304</v>
      </c>
      <c r="C479" t="s">
        <v>449</v>
      </c>
      <c r="D479" t="s">
        <v>1147</v>
      </c>
      <c r="E479">
        <v>0</v>
      </c>
      <c r="F479" t="s">
        <v>1186</v>
      </c>
      <c r="G479" t="s">
        <v>1187</v>
      </c>
      <c r="H479" t="s">
        <v>2030</v>
      </c>
      <c r="I479" t="s">
        <v>1187</v>
      </c>
      <c r="J479" t="s">
        <v>1187</v>
      </c>
      <c r="K479" t="b">
        <v>1</v>
      </c>
      <c r="L479" t="b">
        <v>0</v>
      </c>
      <c r="M479" t="s">
        <v>1187</v>
      </c>
      <c r="N479" t="s">
        <v>1189</v>
      </c>
      <c r="O479" t="s">
        <v>1949</v>
      </c>
      <c r="P479" t="s">
        <v>2031</v>
      </c>
      <c r="Q479" t="s">
        <v>2032</v>
      </c>
    </row>
    <row r="480" spans="1:17" x14ac:dyDescent="0.25">
      <c r="A480" t="s">
        <v>41</v>
      </c>
      <c r="B480" t="s">
        <v>1305</v>
      </c>
      <c r="C480" t="s">
        <v>449</v>
      </c>
      <c r="D480" t="s">
        <v>1232</v>
      </c>
      <c r="E480">
        <v>0</v>
      </c>
      <c r="F480" t="s">
        <v>1186</v>
      </c>
      <c r="G480" t="s">
        <v>1187</v>
      </c>
      <c r="H480" t="s">
        <v>2030</v>
      </c>
      <c r="I480" t="s">
        <v>1187</v>
      </c>
      <c r="J480" t="s">
        <v>1187</v>
      </c>
      <c r="K480" t="b">
        <v>1</v>
      </c>
      <c r="L480" t="b">
        <v>0</v>
      </c>
      <c r="M480" t="s">
        <v>1187</v>
      </c>
      <c r="N480" t="s">
        <v>1189</v>
      </c>
      <c r="O480" t="s">
        <v>1949</v>
      </c>
      <c r="P480" t="s">
        <v>2031</v>
      </c>
      <c r="Q480" t="s">
        <v>2032</v>
      </c>
    </row>
    <row r="481" spans="1:17" x14ac:dyDescent="0.25">
      <c r="A481" t="s">
        <v>41</v>
      </c>
      <c r="B481" t="s">
        <v>2143</v>
      </c>
      <c r="C481" t="s">
        <v>449</v>
      </c>
      <c r="D481" t="s">
        <v>1232</v>
      </c>
      <c r="E481">
        <v>0</v>
      </c>
      <c r="F481" t="s">
        <v>1186</v>
      </c>
      <c r="G481" t="s">
        <v>1187</v>
      </c>
      <c r="H481" t="s">
        <v>2030</v>
      </c>
      <c r="I481" t="s">
        <v>1187</v>
      </c>
      <c r="J481" t="s">
        <v>1187</v>
      </c>
      <c r="K481" t="b">
        <v>1</v>
      </c>
      <c r="L481" t="b">
        <v>0</v>
      </c>
      <c r="M481" t="s">
        <v>1187</v>
      </c>
      <c r="N481" t="s">
        <v>1189</v>
      </c>
      <c r="O481" t="s">
        <v>1949</v>
      </c>
      <c r="P481" t="s">
        <v>2031</v>
      </c>
      <c r="Q481" t="s">
        <v>2032</v>
      </c>
    </row>
    <row r="482" spans="1:17" x14ac:dyDescent="0.25">
      <c r="A482" t="s">
        <v>41</v>
      </c>
      <c r="B482" t="s">
        <v>2118</v>
      </c>
      <c r="C482" t="s">
        <v>2144</v>
      </c>
      <c r="D482" t="s">
        <v>1137</v>
      </c>
      <c r="E482">
        <v>3173</v>
      </c>
      <c r="F482" t="s">
        <v>2145</v>
      </c>
      <c r="G482" t="s">
        <v>2146</v>
      </c>
      <c r="H482" t="s">
        <v>2030</v>
      </c>
      <c r="I482" t="s">
        <v>1199</v>
      </c>
      <c r="J482" t="s">
        <v>1187</v>
      </c>
      <c r="K482" t="b">
        <v>1</v>
      </c>
      <c r="L482" t="b">
        <v>0</v>
      </c>
      <c r="M482" t="s">
        <v>1187</v>
      </c>
      <c r="N482" t="s">
        <v>2147</v>
      </c>
      <c r="O482" t="s">
        <v>1309</v>
      </c>
      <c r="P482" t="s">
        <v>2148</v>
      </c>
      <c r="Q482" t="s">
        <v>2149</v>
      </c>
    </row>
    <row r="483" spans="1:17" x14ac:dyDescent="0.25">
      <c r="A483" t="s">
        <v>41</v>
      </c>
      <c r="B483" t="s">
        <v>2121</v>
      </c>
      <c r="C483" t="s">
        <v>2144</v>
      </c>
      <c r="D483" t="s">
        <v>1138</v>
      </c>
      <c r="E483">
        <v>3294.8</v>
      </c>
      <c r="F483" t="s">
        <v>2145</v>
      </c>
      <c r="G483" t="s">
        <v>2146</v>
      </c>
      <c r="H483" t="s">
        <v>2030</v>
      </c>
      <c r="I483" t="s">
        <v>1205</v>
      </c>
      <c r="J483" t="s">
        <v>1187</v>
      </c>
      <c r="K483" t="b">
        <v>1</v>
      </c>
      <c r="L483" t="b">
        <v>0</v>
      </c>
      <c r="M483" t="s">
        <v>1187</v>
      </c>
      <c r="N483" t="s">
        <v>2147</v>
      </c>
      <c r="O483" t="s">
        <v>1309</v>
      </c>
      <c r="P483" t="s">
        <v>2148</v>
      </c>
      <c r="Q483" t="s">
        <v>2149</v>
      </c>
    </row>
    <row r="484" spans="1:17" x14ac:dyDescent="0.25">
      <c r="A484" t="s">
        <v>41</v>
      </c>
      <c r="B484" t="s">
        <v>2123</v>
      </c>
      <c r="C484" t="s">
        <v>2144</v>
      </c>
      <c r="D484" t="s">
        <v>1139</v>
      </c>
      <c r="E484">
        <v>3366.9000000000005</v>
      </c>
      <c r="F484" t="s">
        <v>2145</v>
      </c>
      <c r="G484" t="s">
        <v>2146</v>
      </c>
      <c r="H484" t="s">
        <v>2030</v>
      </c>
      <c r="I484" t="s">
        <v>1208</v>
      </c>
      <c r="J484" t="s">
        <v>1187</v>
      </c>
      <c r="K484" t="b">
        <v>1</v>
      </c>
      <c r="L484" t="b">
        <v>0</v>
      </c>
      <c r="M484" t="s">
        <v>1187</v>
      </c>
      <c r="N484" t="s">
        <v>2147</v>
      </c>
      <c r="O484" t="s">
        <v>1309</v>
      </c>
      <c r="P484" t="s">
        <v>2148</v>
      </c>
      <c r="Q484" t="s">
        <v>2149</v>
      </c>
    </row>
    <row r="485" spans="1:17" x14ac:dyDescent="0.25">
      <c r="A485" t="s">
        <v>41</v>
      </c>
      <c r="B485" t="s">
        <v>2125</v>
      </c>
      <c r="C485" t="s">
        <v>2144</v>
      </c>
      <c r="D485" t="s">
        <v>1140</v>
      </c>
      <c r="E485">
        <v>3374.7000000000003</v>
      </c>
      <c r="F485" t="s">
        <v>2145</v>
      </c>
      <c r="G485" t="s">
        <v>2146</v>
      </c>
      <c r="H485" t="s">
        <v>2030</v>
      </c>
      <c r="I485" t="s">
        <v>1187</v>
      </c>
      <c r="J485" t="s">
        <v>1187</v>
      </c>
      <c r="K485" t="b">
        <v>1</v>
      </c>
      <c r="L485" t="b">
        <v>0</v>
      </c>
      <c r="M485" t="s">
        <v>1187</v>
      </c>
      <c r="N485" t="s">
        <v>2147</v>
      </c>
      <c r="O485" t="s">
        <v>1309</v>
      </c>
      <c r="P485" t="s">
        <v>2148</v>
      </c>
      <c r="Q485" t="s">
        <v>2149</v>
      </c>
    </row>
    <row r="486" spans="1:17" x14ac:dyDescent="0.25">
      <c r="A486" t="s">
        <v>41</v>
      </c>
      <c r="B486" t="s">
        <v>2127</v>
      </c>
      <c r="C486" t="s">
        <v>2144</v>
      </c>
      <c r="D486" t="s">
        <v>1141</v>
      </c>
      <c r="E486">
        <v>3428.4999999999995</v>
      </c>
      <c r="F486" t="s">
        <v>2145</v>
      </c>
      <c r="G486" t="s">
        <v>2146</v>
      </c>
      <c r="H486" t="s">
        <v>2030</v>
      </c>
      <c r="I486" t="s">
        <v>1214</v>
      </c>
      <c r="J486" t="s">
        <v>1187</v>
      </c>
      <c r="K486" t="b">
        <v>1</v>
      </c>
      <c r="L486" t="b">
        <v>0</v>
      </c>
      <c r="M486" t="s">
        <v>1187</v>
      </c>
      <c r="N486" t="s">
        <v>2147</v>
      </c>
      <c r="O486" t="s">
        <v>1309</v>
      </c>
      <c r="P486" t="s">
        <v>2148</v>
      </c>
      <c r="Q486" t="s">
        <v>2149</v>
      </c>
    </row>
    <row r="487" spans="1:17" x14ac:dyDescent="0.25">
      <c r="A487" t="s">
        <v>41</v>
      </c>
      <c r="B487" t="s">
        <v>2129</v>
      </c>
      <c r="C487" t="s">
        <v>2144</v>
      </c>
      <c r="D487" t="s">
        <v>1142</v>
      </c>
      <c r="E487">
        <v>3542</v>
      </c>
      <c r="F487" t="s">
        <v>2145</v>
      </c>
      <c r="G487" t="s">
        <v>2146</v>
      </c>
      <c r="H487" t="s">
        <v>2030</v>
      </c>
      <c r="I487" t="s">
        <v>1217</v>
      </c>
      <c r="J487" t="s">
        <v>1187</v>
      </c>
      <c r="K487" t="b">
        <v>1</v>
      </c>
      <c r="L487" t="b">
        <v>0</v>
      </c>
      <c r="M487" t="s">
        <v>1187</v>
      </c>
      <c r="N487" t="s">
        <v>2147</v>
      </c>
      <c r="O487" t="s">
        <v>1309</v>
      </c>
      <c r="P487" t="s">
        <v>2148</v>
      </c>
      <c r="Q487" t="s">
        <v>2149</v>
      </c>
    </row>
    <row r="488" spans="1:17" x14ac:dyDescent="0.25">
      <c r="A488" t="s">
        <v>41</v>
      </c>
      <c r="B488" t="s">
        <v>2131</v>
      </c>
      <c r="C488" t="s">
        <v>2144</v>
      </c>
      <c r="D488" t="s">
        <v>1143</v>
      </c>
      <c r="E488">
        <v>3550.9000000000005</v>
      </c>
      <c r="F488" t="s">
        <v>2145</v>
      </c>
      <c r="G488" t="s">
        <v>2146</v>
      </c>
      <c r="H488" t="s">
        <v>2030</v>
      </c>
      <c r="I488" t="s">
        <v>1220</v>
      </c>
      <c r="J488" t="s">
        <v>1187</v>
      </c>
      <c r="K488" t="b">
        <v>1</v>
      </c>
      <c r="L488" t="b">
        <v>0</v>
      </c>
      <c r="M488" t="s">
        <v>1187</v>
      </c>
      <c r="N488" t="s">
        <v>2147</v>
      </c>
      <c r="O488" t="s">
        <v>1309</v>
      </c>
      <c r="P488" t="s">
        <v>2148</v>
      </c>
      <c r="Q488" t="s">
        <v>2149</v>
      </c>
    </row>
    <row r="489" spans="1:17" x14ac:dyDescent="0.25">
      <c r="A489" t="s">
        <v>41</v>
      </c>
      <c r="B489" t="s">
        <v>2133</v>
      </c>
      <c r="C489" t="s">
        <v>2144</v>
      </c>
      <c r="D489" t="s">
        <v>1144</v>
      </c>
      <c r="E489">
        <v>3505.6000000000004</v>
      </c>
      <c r="F489" t="s">
        <v>2145</v>
      </c>
      <c r="G489" t="s">
        <v>2146</v>
      </c>
      <c r="H489" t="s">
        <v>2030</v>
      </c>
      <c r="I489" t="s">
        <v>1187</v>
      </c>
      <c r="J489" t="s">
        <v>1187</v>
      </c>
      <c r="K489" t="b">
        <v>1</v>
      </c>
      <c r="L489" t="b">
        <v>0</v>
      </c>
      <c r="M489" t="s">
        <v>1187</v>
      </c>
      <c r="N489" t="s">
        <v>2147</v>
      </c>
      <c r="O489" t="s">
        <v>1309</v>
      </c>
      <c r="P489" t="s">
        <v>2148</v>
      </c>
      <c r="Q489" t="s">
        <v>2149</v>
      </c>
    </row>
    <row r="490" spans="1:17" x14ac:dyDescent="0.25">
      <c r="A490" t="s">
        <v>41</v>
      </c>
      <c r="B490" t="s">
        <v>2135</v>
      </c>
      <c r="C490" t="s">
        <v>2144</v>
      </c>
      <c r="D490" t="s">
        <v>1145</v>
      </c>
      <c r="E490">
        <v>3535</v>
      </c>
      <c r="F490" t="s">
        <v>2145</v>
      </c>
      <c r="G490" t="s">
        <v>2146</v>
      </c>
      <c r="H490" t="s">
        <v>2030</v>
      </c>
      <c r="I490" t="s">
        <v>1226</v>
      </c>
      <c r="J490" t="s">
        <v>1187</v>
      </c>
      <c r="K490" t="b">
        <v>1</v>
      </c>
      <c r="L490" t="b">
        <v>0</v>
      </c>
      <c r="M490" t="s">
        <v>1187</v>
      </c>
      <c r="N490" t="s">
        <v>2147</v>
      </c>
      <c r="O490" t="s">
        <v>1309</v>
      </c>
      <c r="P490" t="s">
        <v>2148</v>
      </c>
      <c r="Q490" t="s">
        <v>2149</v>
      </c>
    </row>
    <row r="491" spans="1:17" x14ac:dyDescent="0.25">
      <c r="A491" t="s">
        <v>41</v>
      </c>
      <c r="B491" t="s">
        <v>2137</v>
      </c>
      <c r="C491" t="s">
        <v>2144</v>
      </c>
      <c r="D491" t="s">
        <v>1146</v>
      </c>
      <c r="E491">
        <v>3683</v>
      </c>
      <c r="F491" t="s">
        <v>2145</v>
      </c>
      <c r="G491" t="s">
        <v>2146</v>
      </c>
      <c r="H491" t="s">
        <v>2030</v>
      </c>
      <c r="I491" t="s">
        <v>1217</v>
      </c>
      <c r="J491" t="s">
        <v>1187</v>
      </c>
      <c r="K491" t="b">
        <v>1</v>
      </c>
      <c r="L491" t="b">
        <v>0</v>
      </c>
      <c r="M491" t="s">
        <v>1187</v>
      </c>
      <c r="N491" t="s">
        <v>2147</v>
      </c>
      <c r="O491" t="s">
        <v>1309</v>
      </c>
      <c r="P491" t="s">
        <v>2148</v>
      </c>
      <c r="Q491" t="s">
        <v>2149</v>
      </c>
    </row>
    <row r="492" spans="1:17" x14ac:dyDescent="0.25">
      <c r="A492" t="s">
        <v>41</v>
      </c>
      <c r="B492" t="s">
        <v>2139</v>
      </c>
      <c r="C492" t="s">
        <v>2144</v>
      </c>
      <c r="D492" t="s">
        <v>1147</v>
      </c>
      <c r="E492">
        <v>3654</v>
      </c>
      <c r="F492" t="s">
        <v>2145</v>
      </c>
      <c r="G492" t="s">
        <v>2146</v>
      </c>
      <c r="H492" t="s">
        <v>2030</v>
      </c>
      <c r="I492" t="s">
        <v>1220</v>
      </c>
      <c r="J492" t="s">
        <v>1187</v>
      </c>
      <c r="K492" t="b">
        <v>1</v>
      </c>
      <c r="L492" t="b">
        <v>0</v>
      </c>
      <c r="M492" t="s">
        <v>1187</v>
      </c>
      <c r="N492" t="s">
        <v>2147</v>
      </c>
      <c r="O492" t="s">
        <v>1309</v>
      </c>
      <c r="P492" t="s">
        <v>2148</v>
      </c>
      <c r="Q492" t="s">
        <v>2149</v>
      </c>
    </row>
    <row r="493" spans="1:17" x14ac:dyDescent="0.25">
      <c r="A493" t="s">
        <v>41</v>
      </c>
      <c r="B493" t="s">
        <v>2141</v>
      </c>
      <c r="C493" t="s">
        <v>2144</v>
      </c>
      <c r="D493" t="s">
        <v>1232</v>
      </c>
      <c r="E493">
        <v>3623</v>
      </c>
      <c r="F493" t="s">
        <v>2145</v>
      </c>
      <c r="G493" t="s">
        <v>2146</v>
      </c>
      <c r="H493" t="s">
        <v>2030</v>
      </c>
      <c r="I493" t="s">
        <v>1187</v>
      </c>
      <c r="J493" t="s">
        <v>1187</v>
      </c>
      <c r="K493" t="b">
        <v>1</v>
      </c>
      <c r="L493" t="b">
        <v>0</v>
      </c>
      <c r="M493" t="s">
        <v>1187</v>
      </c>
      <c r="N493" t="s">
        <v>2147</v>
      </c>
      <c r="O493" t="s">
        <v>1309</v>
      </c>
      <c r="P493" t="s">
        <v>2148</v>
      </c>
      <c r="Q493" t="s">
        <v>2149</v>
      </c>
    </row>
    <row r="494" spans="1:17" x14ac:dyDescent="0.25">
      <c r="A494" t="s">
        <v>41</v>
      </c>
      <c r="B494" t="s">
        <v>2150</v>
      </c>
      <c r="C494" t="s">
        <v>2151</v>
      </c>
      <c r="D494" t="s">
        <v>1137</v>
      </c>
      <c r="E494">
        <v>644.1</v>
      </c>
      <c r="F494" t="s">
        <v>2145</v>
      </c>
      <c r="G494" t="s">
        <v>2152</v>
      </c>
      <c r="H494" t="s">
        <v>2030</v>
      </c>
      <c r="I494" t="s">
        <v>1199</v>
      </c>
      <c r="J494" t="s">
        <v>1187</v>
      </c>
      <c r="K494" t="b">
        <v>1</v>
      </c>
      <c r="L494" t="b">
        <v>0</v>
      </c>
      <c r="M494" t="s">
        <v>1187</v>
      </c>
      <c r="N494" t="s">
        <v>2147</v>
      </c>
      <c r="O494" t="s">
        <v>1309</v>
      </c>
      <c r="P494" t="s">
        <v>2148</v>
      </c>
      <c r="Q494" t="s">
        <v>2153</v>
      </c>
    </row>
    <row r="495" spans="1:17" x14ac:dyDescent="0.25">
      <c r="A495" t="s">
        <v>41</v>
      </c>
      <c r="B495" t="s">
        <v>2154</v>
      </c>
      <c r="C495" t="s">
        <v>2151</v>
      </c>
      <c r="D495" t="s">
        <v>1138</v>
      </c>
      <c r="E495">
        <v>707.2</v>
      </c>
      <c r="F495" t="s">
        <v>2145</v>
      </c>
      <c r="G495" t="s">
        <v>2152</v>
      </c>
      <c r="H495" t="s">
        <v>2030</v>
      </c>
      <c r="I495" t="s">
        <v>1205</v>
      </c>
      <c r="J495" t="s">
        <v>1187</v>
      </c>
      <c r="K495" t="b">
        <v>1</v>
      </c>
      <c r="L495" t="b">
        <v>0</v>
      </c>
      <c r="M495" t="s">
        <v>1187</v>
      </c>
      <c r="N495" t="s">
        <v>2147</v>
      </c>
      <c r="O495" t="s">
        <v>1309</v>
      </c>
      <c r="P495" t="s">
        <v>2148</v>
      </c>
      <c r="Q495" t="s">
        <v>2153</v>
      </c>
    </row>
    <row r="496" spans="1:17" x14ac:dyDescent="0.25">
      <c r="A496" t="s">
        <v>41</v>
      </c>
      <c r="B496" t="s">
        <v>2155</v>
      </c>
      <c r="C496" t="s">
        <v>2151</v>
      </c>
      <c r="D496" t="s">
        <v>1139</v>
      </c>
      <c r="E496">
        <v>727.8</v>
      </c>
      <c r="F496" t="s">
        <v>2145</v>
      </c>
      <c r="G496" t="s">
        <v>2152</v>
      </c>
      <c r="H496" t="s">
        <v>2030</v>
      </c>
      <c r="I496" t="s">
        <v>1208</v>
      </c>
      <c r="J496" t="s">
        <v>1187</v>
      </c>
      <c r="K496" t="b">
        <v>1</v>
      </c>
      <c r="L496" t="b">
        <v>0</v>
      </c>
      <c r="M496" t="s">
        <v>1187</v>
      </c>
      <c r="N496" t="s">
        <v>2147</v>
      </c>
      <c r="O496" t="s">
        <v>1309</v>
      </c>
      <c r="P496" t="s">
        <v>2148</v>
      </c>
      <c r="Q496" t="s">
        <v>2153</v>
      </c>
    </row>
    <row r="497" spans="1:17" x14ac:dyDescent="0.25">
      <c r="A497" t="s">
        <v>41</v>
      </c>
      <c r="B497" t="s">
        <v>2156</v>
      </c>
      <c r="C497" t="s">
        <v>2151</v>
      </c>
      <c r="D497" t="s">
        <v>1140</v>
      </c>
      <c r="E497">
        <v>700.8</v>
      </c>
      <c r="F497" t="s">
        <v>2145</v>
      </c>
      <c r="G497" t="s">
        <v>2152</v>
      </c>
      <c r="H497" t="s">
        <v>2030</v>
      </c>
      <c r="I497" t="s">
        <v>1187</v>
      </c>
      <c r="J497" t="s">
        <v>1187</v>
      </c>
      <c r="K497" t="b">
        <v>1</v>
      </c>
      <c r="L497" t="b">
        <v>0</v>
      </c>
      <c r="M497" t="s">
        <v>1187</v>
      </c>
      <c r="N497" t="s">
        <v>2147</v>
      </c>
      <c r="O497" t="s">
        <v>1309</v>
      </c>
      <c r="P497" t="s">
        <v>2148</v>
      </c>
      <c r="Q497" t="s">
        <v>2153</v>
      </c>
    </row>
    <row r="498" spans="1:17" x14ac:dyDescent="0.25">
      <c r="A498" t="s">
        <v>41</v>
      </c>
      <c r="B498" t="s">
        <v>2157</v>
      </c>
      <c r="C498" t="s">
        <v>2151</v>
      </c>
      <c r="D498" t="s">
        <v>1141</v>
      </c>
      <c r="E498">
        <v>733</v>
      </c>
      <c r="F498" t="s">
        <v>2145</v>
      </c>
      <c r="G498" t="s">
        <v>2152</v>
      </c>
      <c r="H498" t="s">
        <v>2030</v>
      </c>
      <c r="I498" t="s">
        <v>1214</v>
      </c>
      <c r="J498" t="s">
        <v>1187</v>
      </c>
      <c r="K498" t="b">
        <v>1</v>
      </c>
      <c r="L498" t="b">
        <v>0</v>
      </c>
      <c r="M498" t="s">
        <v>1187</v>
      </c>
      <c r="N498" t="s">
        <v>2147</v>
      </c>
      <c r="O498" t="s">
        <v>1309</v>
      </c>
      <c r="P498" t="s">
        <v>2148</v>
      </c>
      <c r="Q498" t="s">
        <v>2153</v>
      </c>
    </row>
    <row r="499" spans="1:17" x14ac:dyDescent="0.25">
      <c r="A499" t="s">
        <v>41</v>
      </c>
      <c r="B499" t="s">
        <v>2158</v>
      </c>
      <c r="C499" t="s">
        <v>2151</v>
      </c>
      <c r="D499" t="s">
        <v>1142</v>
      </c>
      <c r="E499">
        <v>814</v>
      </c>
      <c r="F499" t="s">
        <v>2145</v>
      </c>
      <c r="G499" t="s">
        <v>2152</v>
      </c>
      <c r="H499" t="s">
        <v>2030</v>
      </c>
      <c r="I499" t="s">
        <v>1217</v>
      </c>
      <c r="J499" t="s">
        <v>1187</v>
      </c>
      <c r="K499" t="b">
        <v>1</v>
      </c>
      <c r="L499" t="b">
        <v>0</v>
      </c>
      <c r="M499" t="s">
        <v>1187</v>
      </c>
      <c r="N499" t="s">
        <v>2147</v>
      </c>
      <c r="O499" t="s">
        <v>1309</v>
      </c>
      <c r="P499" t="s">
        <v>2148</v>
      </c>
      <c r="Q499" t="s">
        <v>2153</v>
      </c>
    </row>
    <row r="500" spans="1:17" x14ac:dyDescent="0.25">
      <c r="A500" t="s">
        <v>41</v>
      </c>
      <c r="B500" t="s">
        <v>2159</v>
      </c>
      <c r="C500" t="s">
        <v>2151</v>
      </c>
      <c r="D500" t="s">
        <v>1143</v>
      </c>
      <c r="E500">
        <v>846</v>
      </c>
      <c r="F500" t="s">
        <v>2145</v>
      </c>
      <c r="G500" t="s">
        <v>2152</v>
      </c>
      <c r="H500" t="s">
        <v>2030</v>
      </c>
      <c r="I500" t="s">
        <v>1220</v>
      </c>
      <c r="J500" t="s">
        <v>1187</v>
      </c>
      <c r="K500" t="b">
        <v>1</v>
      </c>
      <c r="L500" t="b">
        <v>0</v>
      </c>
      <c r="M500" t="s">
        <v>1187</v>
      </c>
      <c r="N500" t="s">
        <v>2147</v>
      </c>
      <c r="O500" t="s">
        <v>1309</v>
      </c>
      <c r="P500" t="s">
        <v>2148</v>
      </c>
      <c r="Q500" t="s">
        <v>2153</v>
      </c>
    </row>
    <row r="501" spans="1:17" x14ac:dyDescent="0.25">
      <c r="A501" t="s">
        <v>41</v>
      </c>
      <c r="B501" t="s">
        <v>2160</v>
      </c>
      <c r="C501" t="s">
        <v>2151</v>
      </c>
      <c r="D501" t="s">
        <v>1144</v>
      </c>
      <c r="E501">
        <v>803</v>
      </c>
      <c r="F501" t="s">
        <v>2145</v>
      </c>
      <c r="G501" t="s">
        <v>2152</v>
      </c>
      <c r="H501" t="s">
        <v>2030</v>
      </c>
      <c r="I501" t="s">
        <v>1187</v>
      </c>
      <c r="J501" t="s">
        <v>1187</v>
      </c>
      <c r="K501" t="b">
        <v>1</v>
      </c>
      <c r="L501" t="b">
        <v>0</v>
      </c>
      <c r="M501" t="s">
        <v>1187</v>
      </c>
      <c r="N501" t="s">
        <v>2147</v>
      </c>
      <c r="O501" t="s">
        <v>1309</v>
      </c>
      <c r="P501" t="s">
        <v>2148</v>
      </c>
      <c r="Q501" t="s">
        <v>2153</v>
      </c>
    </row>
    <row r="502" spans="1:17" x14ac:dyDescent="0.25">
      <c r="A502" t="s">
        <v>41</v>
      </c>
      <c r="B502" t="s">
        <v>2161</v>
      </c>
      <c r="C502" t="s">
        <v>2151</v>
      </c>
      <c r="D502" t="s">
        <v>1145</v>
      </c>
      <c r="E502">
        <v>804</v>
      </c>
      <c r="F502" t="s">
        <v>2145</v>
      </c>
      <c r="G502" t="s">
        <v>2152</v>
      </c>
      <c r="H502" t="s">
        <v>2030</v>
      </c>
      <c r="I502" t="s">
        <v>1226</v>
      </c>
      <c r="J502" t="s">
        <v>1187</v>
      </c>
      <c r="K502" t="b">
        <v>1</v>
      </c>
      <c r="L502" t="b">
        <v>0</v>
      </c>
      <c r="M502" t="s">
        <v>1187</v>
      </c>
      <c r="N502" t="s">
        <v>2147</v>
      </c>
      <c r="O502" t="s">
        <v>1309</v>
      </c>
      <c r="P502" t="s">
        <v>2148</v>
      </c>
      <c r="Q502" t="s">
        <v>2153</v>
      </c>
    </row>
    <row r="503" spans="1:17" x14ac:dyDescent="0.25">
      <c r="A503" t="s">
        <v>41</v>
      </c>
      <c r="B503" t="s">
        <v>2162</v>
      </c>
      <c r="C503" t="s">
        <v>2151</v>
      </c>
      <c r="D503" t="s">
        <v>1146</v>
      </c>
      <c r="E503">
        <v>861</v>
      </c>
      <c r="F503" t="s">
        <v>2145</v>
      </c>
      <c r="G503" t="s">
        <v>2152</v>
      </c>
      <c r="H503" t="s">
        <v>2030</v>
      </c>
      <c r="I503" t="s">
        <v>1217</v>
      </c>
      <c r="J503" t="s">
        <v>1187</v>
      </c>
      <c r="K503" t="b">
        <v>1</v>
      </c>
      <c r="L503" t="b">
        <v>0</v>
      </c>
      <c r="M503" t="s">
        <v>1187</v>
      </c>
      <c r="N503" t="s">
        <v>2147</v>
      </c>
      <c r="O503" t="s">
        <v>1309</v>
      </c>
      <c r="P503" t="s">
        <v>2148</v>
      </c>
      <c r="Q503" t="s">
        <v>2153</v>
      </c>
    </row>
    <row r="504" spans="1:17" x14ac:dyDescent="0.25">
      <c r="A504" t="s">
        <v>41</v>
      </c>
      <c r="B504" t="s">
        <v>2163</v>
      </c>
      <c r="C504" t="s">
        <v>2151</v>
      </c>
      <c r="D504" t="s">
        <v>1147</v>
      </c>
      <c r="E504">
        <v>836</v>
      </c>
      <c r="F504" t="s">
        <v>2145</v>
      </c>
      <c r="G504" t="s">
        <v>2152</v>
      </c>
      <c r="H504" t="s">
        <v>2030</v>
      </c>
      <c r="I504" t="s">
        <v>1220</v>
      </c>
      <c r="J504" t="s">
        <v>1187</v>
      </c>
      <c r="K504" t="b">
        <v>1</v>
      </c>
      <c r="L504" t="b">
        <v>0</v>
      </c>
      <c r="M504" t="s">
        <v>1187</v>
      </c>
      <c r="N504" t="s">
        <v>2147</v>
      </c>
      <c r="O504" t="s">
        <v>1309</v>
      </c>
      <c r="P504" t="s">
        <v>2148</v>
      </c>
      <c r="Q504" t="s">
        <v>2153</v>
      </c>
    </row>
    <row r="505" spans="1:17" x14ac:dyDescent="0.25">
      <c r="A505" t="s">
        <v>41</v>
      </c>
      <c r="B505" t="s">
        <v>2164</v>
      </c>
      <c r="C505" t="s">
        <v>2151</v>
      </c>
      <c r="D505" t="s">
        <v>1232</v>
      </c>
      <c r="E505">
        <v>800</v>
      </c>
      <c r="F505" t="s">
        <v>2145</v>
      </c>
      <c r="G505" t="s">
        <v>2152</v>
      </c>
      <c r="H505" t="s">
        <v>2030</v>
      </c>
      <c r="I505" t="s">
        <v>1187</v>
      </c>
      <c r="J505" t="s">
        <v>1187</v>
      </c>
      <c r="K505" t="b">
        <v>1</v>
      </c>
      <c r="L505" t="b">
        <v>0</v>
      </c>
      <c r="M505" t="s">
        <v>1187</v>
      </c>
      <c r="N505" t="s">
        <v>2147</v>
      </c>
      <c r="O505" t="s">
        <v>1309</v>
      </c>
      <c r="P505" t="s">
        <v>2148</v>
      </c>
      <c r="Q505" t="s">
        <v>2153</v>
      </c>
    </row>
    <row r="506" spans="1:17" x14ac:dyDescent="0.25">
      <c r="A506" t="s">
        <v>39</v>
      </c>
      <c r="B506" t="s">
        <v>1289</v>
      </c>
      <c r="C506" t="s">
        <v>272</v>
      </c>
      <c r="D506" t="s">
        <v>1137</v>
      </c>
      <c r="E506">
        <v>-595.6999999999998</v>
      </c>
      <c r="F506" t="s">
        <v>2145</v>
      </c>
      <c r="G506" t="s">
        <v>2152</v>
      </c>
      <c r="H506" t="s">
        <v>1188</v>
      </c>
      <c r="I506" t="s">
        <v>1199</v>
      </c>
      <c r="J506" t="s">
        <v>1187</v>
      </c>
      <c r="K506" t="b">
        <v>1</v>
      </c>
      <c r="L506" t="b">
        <v>0</v>
      </c>
      <c r="M506" t="s">
        <v>1187</v>
      </c>
      <c r="N506" t="s">
        <v>2147</v>
      </c>
      <c r="O506" t="s">
        <v>1309</v>
      </c>
      <c r="P506" t="s">
        <v>2148</v>
      </c>
      <c r="Q506" t="s">
        <v>2165</v>
      </c>
    </row>
    <row r="507" spans="1:17" x14ac:dyDescent="0.25">
      <c r="A507" t="s">
        <v>39</v>
      </c>
      <c r="B507" t="s">
        <v>1293</v>
      </c>
      <c r="C507" t="s">
        <v>272</v>
      </c>
      <c r="D507" t="s">
        <v>1138</v>
      </c>
      <c r="E507">
        <v>-635.4999999999998</v>
      </c>
      <c r="F507" t="s">
        <v>2145</v>
      </c>
      <c r="G507" t="s">
        <v>2152</v>
      </c>
      <c r="H507" t="s">
        <v>1188</v>
      </c>
      <c r="I507" t="s">
        <v>1205</v>
      </c>
      <c r="J507" t="s">
        <v>1187</v>
      </c>
      <c r="K507" t="b">
        <v>1</v>
      </c>
      <c r="L507" t="b">
        <v>0</v>
      </c>
      <c r="M507" t="s">
        <v>1187</v>
      </c>
      <c r="N507" t="s">
        <v>2147</v>
      </c>
      <c r="O507" t="s">
        <v>1309</v>
      </c>
      <c r="P507" t="s">
        <v>2148</v>
      </c>
      <c r="Q507" t="s">
        <v>2165</v>
      </c>
    </row>
    <row r="508" spans="1:17" x14ac:dyDescent="0.25">
      <c r="A508" t="s">
        <v>39</v>
      </c>
      <c r="B508" t="s">
        <v>1294</v>
      </c>
      <c r="C508" t="s">
        <v>272</v>
      </c>
      <c r="D508" t="s">
        <v>1139</v>
      </c>
      <c r="E508">
        <v>-617.7000000000005</v>
      </c>
      <c r="F508" t="s">
        <v>2145</v>
      </c>
      <c r="G508" t="s">
        <v>2152</v>
      </c>
      <c r="H508" t="s">
        <v>1188</v>
      </c>
      <c r="I508" t="s">
        <v>1208</v>
      </c>
      <c r="J508" t="s">
        <v>1187</v>
      </c>
      <c r="K508" t="b">
        <v>1</v>
      </c>
      <c r="L508" t="b">
        <v>0</v>
      </c>
      <c r="M508" t="s">
        <v>1187</v>
      </c>
      <c r="N508" t="s">
        <v>2147</v>
      </c>
      <c r="O508" t="s">
        <v>1309</v>
      </c>
      <c r="P508" t="s">
        <v>2148</v>
      </c>
      <c r="Q508" t="s">
        <v>2165</v>
      </c>
    </row>
    <row r="509" spans="1:17" x14ac:dyDescent="0.25">
      <c r="A509" t="s">
        <v>39</v>
      </c>
      <c r="B509" t="s">
        <v>1295</v>
      </c>
      <c r="C509" t="s">
        <v>272</v>
      </c>
      <c r="D509" t="s">
        <v>1140</v>
      </c>
      <c r="E509">
        <v>-597.2</v>
      </c>
      <c r="F509" t="s">
        <v>2145</v>
      </c>
      <c r="G509" t="s">
        <v>2152</v>
      </c>
      <c r="H509" t="s">
        <v>1188</v>
      </c>
      <c r="I509" t="s">
        <v>1187</v>
      </c>
      <c r="J509" t="s">
        <v>1187</v>
      </c>
      <c r="K509" t="b">
        <v>1</v>
      </c>
      <c r="L509" t="b">
        <v>0</v>
      </c>
      <c r="M509" t="s">
        <v>1187</v>
      </c>
      <c r="N509" t="s">
        <v>2147</v>
      </c>
      <c r="O509" t="s">
        <v>1309</v>
      </c>
      <c r="P509" t="s">
        <v>2148</v>
      </c>
      <c r="Q509" t="s">
        <v>2165</v>
      </c>
    </row>
    <row r="510" spans="1:17" x14ac:dyDescent="0.25">
      <c r="A510" t="s">
        <v>39</v>
      </c>
      <c r="B510" t="s">
        <v>1297</v>
      </c>
      <c r="C510" t="s">
        <v>272</v>
      </c>
      <c r="D510" t="s">
        <v>1141</v>
      </c>
      <c r="E510">
        <v>-610</v>
      </c>
      <c r="F510" t="s">
        <v>2145</v>
      </c>
      <c r="G510" t="s">
        <v>2152</v>
      </c>
      <c r="H510" t="s">
        <v>1188</v>
      </c>
      <c r="I510" t="s">
        <v>1214</v>
      </c>
      <c r="J510" t="s">
        <v>1187</v>
      </c>
      <c r="K510" t="b">
        <v>1</v>
      </c>
      <c r="L510" t="b">
        <v>0</v>
      </c>
      <c r="M510" t="s">
        <v>1187</v>
      </c>
      <c r="N510" t="s">
        <v>2147</v>
      </c>
      <c r="O510" t="s">
        <v>1309</v>
      </c>
      <c r="P510" t="s">
        <v>2148</v>
      </c>
      <c r="Q510" t="s">
        <v>2165</v>
      </c>
    </row>
    <row r="511" spans="1:17" x14ac:dyDescent="0.25">
      <c r="A511" t="s">
        <v>39</v>
      </c>
      <c r="B511" t="s">
        <v>1298</v>
      </c>
      <c r="C511" t="s">
        <v>272</v>
      </c>
      <c r="D511" t="s">
        <v>1142</v>
      </c>
      <c r="E511">
        <v>-646</v>
      </c>
      <c r="F511" t="s">
        <v>2145</v>
      </c>
      <c r="G511" t="s">
        <v>2152</v>
      </c>
      <c r="H511" t="s">
        <v>1188</v>
      </c>
      <c r="I511" t="s">
        <v>1217</v>
      </c>
      <c r="J511" t="s">
        <v>1187</v>
      </c>
      <c r="K511" t="b">
        <v>1</v>
      </c>
      <c r="L511" t="b">
        <v>0</v>
      </c>
      <c r="M511" t="s">
        <v>1187</v>
      </c>
      <c r="N511" t="s">
        <v>2147</v>
      </c>
      <c r="O511" t="s">
        <v>1309</v>
      </c>
      <c r="P511" t="s">
        <v>2148</v>
      </c>
      <c r="Q511" t="s">
        <v>2165</v>
      </c>
    </row>
    <row r="512" spans="1:17" x14ac:dyDescent="0.25">
      <c r="A512" t="s">
        <v>39</v>
      </c>
      <c r="B512" t="s">
        <v>1299</v>
      </c>
      <c r="C512" t="s">
        <v>272</v>
      </c>
      <c r="D512" t="s">
        <v>1143</v>
      </c>
      <c r="E512">
        <v>-639</v>
      </c>
      <c r="F512" t="s">
        <v>2145</v>
      </c>
      <c r="G512" t="s">
        <v>2152</v>
      </c>
      <c r="H512" t="s">
        <v>1188</v>
      </c>
      <c r="I512" t="s">
        <v>1220</v>
      </c>
      <c r="J512" t="s">
        <v>1187</v>
      </c>
      <c r="K512" t="b">
        <v>1</v>
      </c>
      <c r="L512" t="b">
        <v>0</v>
      </c>
      <c r="M512" t="s">
        <v>1187</v>
      </c>
      <c r="N512" t="s">
        <v>2147</v>
      </c>
      <c r="O512" t="s">
        <v>1309</v>
      </c>
      <c r="P512" t="s">
        <v>2148</v>
      </c>
      <c r="Q512" t="s">
        <v>2165</v>
      </c>
    </row>
    <row r="513" spans="1:17" x14ac:dyDescent="0.25">
      <c r="A513" t="s">
        <v>39</v>
      </c>
      <c r="B513" t="s">
        <v>1300</v>
      </c>
      <c r="C513" t="s">
        <v>272</v>
      </c>
      <c r="D513" t="s">
        <v>1144</v>
      </c>
      <c r="E513">
        <v>-624</v>
      </c>
      <c r="F513" t="s">
        <v>2145</v>
      </c>
      <c r="G513" t="s">
        <v>2152</v>
      </c>
      <c r="H513" t="s">
        <v>1188</v>
      </c>
      <c r="I513" t="s">
        <v>1187</v>
      </c>
      <c r="J513" t="s">
        <v>1187</v>
      </c>
      <c r="K513" t="b">
        <v>1</v>
      </c>
      <c r="L513" t="b">
        <v>0</v>
      </c>
      <c r="M513" t="s">
        <v>1187</v>
      </c>
      <c r="N513" t="s">
        <v>2147</v>
      </c>
      <c r="O513" t="s">
        <v>1309</v>
      </c>
      <c r="P513" t="s">
        <v>2148</v>
      </c>
      <c r="Q513" t="s">
        <v>2165</v>
      </c>
    </row>
    <row r="514" spans="1:17" x14ac:dyDescent="0.25">
      <c r="A514" t="s">
        <v>39</v>
      </c>
      <c r="B514" t="s">
        <v>1302</v>
      </c>
      <c r="C514" t="s">
        <v>272</v>
      </c>
      <c r="D514" t="s">
        <v>1145</v>
      </c>
      <c r="E514">
        <v>-614</v>
      </c>
      <c r="F514" t="s">
        <v>2145</v>
      </c>
      <c r="G514" t="s">
        <v>2152</v>
      </c>
      <c r="H514" t="s">
        <v>1188</v>
      </c>
      <c r="I514" t="s">
        <v>1226</v>
      </c>
      <c r="J514" t="s">
        <v>1187</v>
      </c>
      <c r="K514" t="b">
        <v>1</v>
      </c>
      <c r="L514" t="b">
        <v>0</v>
      </c>
      <c r="M514" t="s">
        <v>1187</v>
      </c>
      <c r="N514" t="s">
        <v>2147</v>
      </c>
      <c r="O514" t="s">
        <v>1309</v>
      </c>
      <c r="P514" t="s">
        <v>2148</v>
      </c>
      <c r="Q514" t="s">
        <v>2165</v>
      </c>
    </row>
    <row r="515" spans="1:17" x14ac:dyDescent="0.25">
      <c r="A515" t="s">
        <v>39</v>
      </c>
      <c r="B515" t="s">
        <v>1303</v>
      </c>
      <c r="C515" t="s">
        <v>272</v>
      </c>
      <c r="D515" t="s">
        <v>1146</v>
      </c>
      <c r="E515">
        <v>-684</v>
      </c>
      <c r="F515" t="s">
        <v>2145</v>
      </c>
      <c r="G515" t="s">
        <v>2152</v>
      </c>
      <c r="H515" t="s">
        <v>1188</v>
      </c>
      <c r="I515" t="s">
        <v>1217</v>
      </c>
      <c r="J515" t="s">
        <v>1187</v>
      </c>
      <c r="K515" t="b">
        <v>1</v>
      </c>
      <c r="L515" t="b">
        <v>0</v>
      </c>
      <c r="M515" t="s">
        <v>1187</v>
      </c>
      <c r="N515" t="s">
        <v>2147</v>
      </c>
      <c r="O515" t="s">
        <v>1309</v>
      </c>
      <c r="P515" t="s">
        <v>2148</v>
      </c>
      <c r="Q515" t="s">
        <v>2165</v>
      </c>
    </row>
    <row r="516" spans="1:17" x14ac:dyDescent="0.25">
      <c r="A516" t="s">
        <v>39</v>
      </c>
      <c r="B516" t="s">
        <v>1304</v>
      </c>
      <c r="C516" t="s">
        <v>272</v>
      </c>
      <c r="D516" t="s">
        <v>1147</v>
      </c>
      <c r="E516">
        <v>-647</v>
      </c>
      <c r="F516" t="s">
        <v>2145</v>
      </c>
      <c r="G516" t="s">
        <v>2152</v>
      </c>
      <c r="H516" t="s">
        <v>1188</v>
      </c>
      <c r="I516" t="s">
        <v>1220</v>
      </c>
      <c r="J516" t="s">
        <v>1187</v>
      </c>
      <c r="K516" t="b">
        <v>1</v>
      </c>
      <c r="L516" t="b">
        <v>0</v>
      </c>
      <c r="M516" t="s">
        <v>1187</v>
      </c>
      <c r="N516" t="s">
        <v>2147</v>
      </c>
      <c r="O516" t="s">
        <v>1309</v>
      </c>
      <c r="P516" t="s">
        <v>2148</v>
      </c>
      <c r="Q516" t="s">
        <v>2165</v>
      </c>
    </row>
    <row r="517" spans="1:17" x14ac:dyDescent="0.25">
      <c r="A517" t="s">
        <v>39</v>
      </c>
      <c r="B517" t="s">
        <v>1305</v>
      </c>
      <c r="C517" t="s">
        <v>272</v>
      </c>
      <c r="D517" t="s">
        <v>1232</v>
      </c>
      <c r="E517">
        <v>-629</v>
      </c>
      <c r="F517" t="s">
        <v>2145</v>
      </c>
      <c r="G517" t="s">
        <v>2152</v>
      </c>
      <c r="H517" t="s">
        <v>1188</v>
      </c>
      <c r="I517" t="s">
        <v>1187</v>
      </c>
      <c r="J517" t="s">
        <v>1187</v>
      </c>
      <c r="K517" t="b">
        <v>1</v>
      </c>
      <c r="L517" t="b">
        <v>0</v>
      </c>
      <c r="M517" t="s">
        <v>1187</v>
      </c>
      <c r="N517" t="s">
        <v>2147</v>
      </c>
      <c r="O517" t="s">
        <v>1309</v>
      </c>
      <c r="P517" t="s">
        <v>2148</v>
      </c>
      <c r="Q517" t="s">
        <v>2165</v>
      </c>
    </row>
    <row r="518" spans="1:17" x14ac:dyDescent="0.25">
      <c r="A518" t="s">
        <v>39</v>
      </c>
      <c r="B518" t="s">
        <v>1356</v>
      </c>
      <c r="C518" t="s">
        <v>279</v>
      </c>
      <c r="D518" t="s">
        <v>1137</v>
      </c>
      <c r="E518">
        <v>-264.1479999999999</v>
      </c>
      <c r="F518" t="s">
        <v>2145</v>
      </c>
      <c r="G518" t="s">
        <v>2166</v>
      </c>
      <c r="H518" t="s">
        <v>1188</v>
      </c>
      <c r="I518" t="s">
        <v>1199</v>
      </c>
      <c r="J518" t="s">
        <v>1187</v>
      </c>
      <c r="K518" t="b">
        <v>1</v>
      </c>
      <c r="L518" t="b">
        <v>0</v>
      </c>
      <c r="M518" t="s">
        <v>1187</v>
      </c>
      <c r="N518" t="s">
        <v>2147</v>
      </c>
      <c r="O518" t="s">
        <v>1309</v>
      </c>
      <c r="P518" t="s">
        <v>2148</v>
      </c>
      <c r="Q518" t="s">
        <v>2167</v>
      </c>
    </row>
    <row r="519" spans="1:17" x14ac:dyDescent="0.25">
      <c r="A519" t="s">
        <v>39</v>
      </c>
      <c r="B519" t="s">
        <v>1359</v>
      </c>
      <c r="C519" t="s">
        <v>279</v>
      </c>
      <c r="D519" t="s">
        <v>1138</v>
      </c>
      <c r="E519">
        <v>-280.8019999999998</v>
      </c>
      <c r="F519" t="s">
        <v>2145</v>
      </c>
      <c r="G519" t="s">
        <v>2166</v>
      </c>
      <c r="H519" t="s">
        <v>1188</v>
      </c>
      <c r="I519" t="s">
        <v>1205</v>
      </c>
      <c r="J519" t="s">
        <v>1187</v>
      </c>
      <c r="K519" t="b">
        <v>1</v>
      </c>
      <c r="L519" t="b">
        <v>0</v>
      </c>
      <c r="M519" t="s">
        <v>1187</v>
      </c>
      <c r="N519" t="s">
        <v>2147</v>
      </c>
      <c r="O519" t="s">
        <v>1309</v>
      </c>
      <c r="P519" t="s">
        <v>2148</v>
      </c>
      <c r="Q519" t="s">
        <v>2167</v>
      </c>
    </row>
    <row r="520" spans="1:17" x14ac:dyDescent="0.25">
      <c r="A520" t="s">
        <v>39</v>
      </c>
      <c r="B520" t="s">
        <v>1361</v>
      </c>
      <c r="C520" t="s">
        <v>279</v>
      </c>
      <c r="D520" t="s">
        <v>1139</v>
      </c>
      <c r="E520">
        <v>-250.93099999999993</v>
      </c>
      <c r="F520" t="s">
        <v>2145</v>
      </c>
      <c r="G520" t="s">
        <v>2166</v>
      </c>
      <c r="H520" t="s">
        <v>1188</v>
      </c>
      <c r="I520" t="s">
        <v>1208</v>
      </c>
      <c r="J520" t="s">
        <v>1187</v>
      </c>
      <c r="K520" t="b">
        <v>1</v>
      </c>
      <c r="L520" t="b">
        <v>0</v>
      </c>
      <c r="M520" t="s">
        <v>1187</v>
      </c>
      <c r="N520" t="s">
        <v>2147</v>
      </c>
      <c r="O520" t="s">
        <v>1309</v>
      </c>
      <c r="P520" t="s">
        <v>2148</v>
      </c>
      <c r="Q520" t="s">
        <v>2167</v>
      </c>
    </row>
    <row r="521" spans="1:17" x14ac:dyDescent="0.25">
      <c r="A521" t="s">
        <v>39</v>
      </c>
      <c r="B521" t="s">
        <v>1363</v>
      </c>
      <c r="C521" t="s">
        <v>279</v>
      </c>
      <c r="D521" t="s">
        <v>1140</v>
      </c>
      <c r="E521">
        <v>-266.03400000000016</v>
      </c>
      <c r="F521" t="s">
        <v>2145</v>
      </c>
      <c r="G521" t="s">
        <v>2166</v>
      </c>
      <c r="H521" t="s">
        <v>1188</v>
      </c>
      <c r="I521" t="s">
        <v>1187</v>
      </c>
      <c r="J521" t="s">
        <v>1187</v>
      </c>
      <c r="K521" t="b">
        <v>1</v>
      </c>
      <c r="L521" t="b">
        <v>0</v>
      </c>
      <c r="M521" t="s">
        <v>1187</v>
      </c>
      <c r="N521" t="s">
        <v>2147</v>
      </c>
      <c r="O521" t="s">
        <v>1309</v>
      </c>
      <c r="P521" t="s">
        <v>2148</v>
      </c>
      <c r="Q521" t="s">
        <v>2167</v>
      </c>
    </row>
    <row r="522" spans="1:17" x14ac:dyDescent="0.25">
      <c r="A522" t="s">
        <v>39</v>
      </c>
      <c r="B522" t="s">
        <v>1366</v>
      </c>
      <c r="C522" t="s">
        <v>279</v>
      </c>
      <c r="D522" t="s">
        <v>1141</v>
      </c>
      <c r="E522">
        <v>-293.206</v>
      </c>
      <c r="F522" t="s">
        <v>2145</v>
      </c>
      <c r="G522" t="s">
        <v>2166</v>
      </c>
      <c r="H522" t="s">
        <v>1188</v>
      </c>
      <c r="I522" t="s">
        <v>1214</v>
      </c>
      <c r="J522" t="s">
        <v>1187</v>
      </c>
      <c r="K522" t="b">
        <v>1</v>
      </c>
      <c r="L522" t="b">
        <v>0</v>
      </c>
      <c r="M522" t="s">
        <v>1187</v>
      </c>
      <c r="N522" t="s">
        <v>2147</v>
      </c>
      <c r="O522" t="s">
        <v>1309</v>
      </c>
      <c r="P522" t="s">
        <v>2148</v>
      </c>
      <c r="Q522" t="s">
        <v>2167</v>
      </c>
    </row>
    <row r="523" spans="1:17" x14ac:dyDescent="0.25">
      <c r="A523" t="s">
        <v>39</v>
      </c>
      <c r="B523" t="s">
        <v>1368</v>
      </c>
      <c r="C523" t="s">
        <v>279</v>
      </c>
      <c r="D523" t="s">
        <v>1142</v>
      </c>
      <c r="E523">
        <v>-304.464</v>
      </c>
      <c r="F523" t="s">
        <v>2145</v>
      </c>
      <c r="G523" t="s">
        <v>2166</v>
      </c>
      <c r="H523" t="s">
        <v>1188</v>
      </c>
      <c r="I523" t="s">
        <v>1217</v>
      </c>
      <c r="J523" t="s">
        <v>1187</v>
      </c>
      <c r="K523" t="b">
        <v>1</v>
      </c>
      <c r="L523" t="b">
        <v>0</v>
      </c>
      <c r="M523" t="s">
        <v>1187</v>
      </c>
      <c r="N523" t="s">
        <v>2147</v>
      </c>
      <c r="O523" t="s">
        <v>1309</v>
      </c>
      <c r="P523" t="s">
        <v>2148</v>
      </c>
      <c r="Q523" t="s">
        <v>2167</v>
      </c>
    </row>
    <row r="524" spans="1:17" x14ac:dyDescent="0.25">
      <c r="A524" t="s">
        <v>39</v>
      </c>
      <c r="B524" t="s">
        <v>1370</v>
      </c>
      <c r="C524" t="s">
        <v>279</v>
      </c>
      <c r="D524" t="s">
        <v>1143</v>
      </c>
      <c r="E524">
        <v>-294.331</v>
      </c>
      <c r="F524" t="s">
        <v>2145</v>
      </c>
      <c r="G524" t="s">
        <v>2166</v>
      </c>
      <c r="H524" t="s">
        <v>1188</v>
      </c>
      <c r="I524" t="s">
        <v>1220</v>
      </c>
      <c r="J524" t="s">
        <v>1187</v>
      </c>
      <c r="K524" t="b">
        <v>1</v>
      </c>
      <c r="L524" t="b">
        <v>0</v>
      </c>
      <c r="M524" t="s">
        <v>1187</v>
      </c>
      <c r="N524" t="s">
        <v>2147</v>
      </c>
      <c r="O524" t="s">
        <v>1309</v>
      </c>
      <c r="P524" t="s">
        <v>2148</v>
      </c>
      <c r="Q524" t="s">
        <v>2167</v>
      </c>
    </row>
    <row r="525" spans="1:17" x14ac:dyDescent="0.25">
      <c r="A525" t="s">
        <v>39</v>
      </c>
      <c r="B525" t="s">
        <v>1372</v>
      </c>
      <c r="C525" t="s">
        <v>279</v>
      </c>
      <c r="D525" t="s">
        <v>1144</v>
      </c>
      <c r="E525">
        <v>-292.826</v>
      </c>
      <c r="F525" t="s">
        <v>2145</v>
      </c>
      <c r="G525" t="s">
        <v>2166</v>
      </c>
      <c r="H525" t="s">
        <v>1188</v>
      </c>
      <c r="I525" t="s">
        <v>1187</v>
      </c>
      <c r="J525" t="s">
        <v>1187</v>
      </c>
      <c r="K525" t="b">
        <v>1</v>
      </c>
      <c r="L525" t="b">
        <v>0</v>
      </c>
      <c r="M525" t="s">
        <v>1187</v>
      </c>
      <c r="N525" t="s">
        <v>2147</v>
      </c>
      <c r="O525" t="s">
        <v>1309</v>
      </c>
      <c r="P525" t="s">
        <v>2148</v>
      </c>
      <c r="Q525" t="s">
        <v>2167</v>
      </c>
    </row>
    <row r="526" spans="1:17" x14ac:dyDescent="0.25">
      <c r="A526" t="s">
        <v>39</v>
      </c>
      <c r="B526" t="s">
        <v>1375</v>
      </c>
      <c r="C526" t="s">
        <v>279</v>
      </c>
      <c r="D526" t="s">
        <v>1145</v>
      </c>
      <c r="E526">
        <v>-322.004</v>
      </c>
      <c r="F526" t="s">
        <v>2145</v>
      </c>
      <c r="G526" t="s">
        <v>2166</v>
      </c>
      <c r="H526" t="s">
        <v>1188</v>
      </c>
      <c r="I526" t="s">
        <v>1226</v>
      </c>
      <c r="J526" t="s">
        <v>1187</v>
      </c>
      <c r="K526" t="b">
        <v>1</v>
      </c>
      <c r="L526" t="b">
        <v>0</v>
      </c>
      <c r="M526" t="s">
        <v>1187</v>
      </c>
      <c r="N526" t="s">
        <v>2147</v>
      </c>
      <c r="O526" t="s">
        <v>1309</v>
      </c>
      <c r="P526" t="s">
        <v>2148</v>
      </c>
      <c r="Q526" t="s">
        <v>2167</v>
      </c>
    </row>
    <row r="527" spans="1:17" x14ac:dyDescent="0.25">
      <c r="A527" t="s">
        <v>39</v>
      </c>
      <c r="B527" t="s">
        <v>1377</v>
      </c>
      <c r="C527" t="s">
        <v>279</v>
      </c>
      <c r="D527" t="s">
        <v>1146</v>
      </c>
      <c r="E527">
        <v>-317.095</v>
      </c>
      <c r="F527" t="s">
        <v>2145</v>
      </c>
      <c r="G527" t="s">
        <v>2166</v>
      </c>
      <c r="H527" t="s">
        <v>1188</v>
      </c>
      <c r="I527" t="s">
        <v>1217</v>
      </c>
      <c r="J527" t="s">
        <v>1187</v>
      </c>
      <c r="K527" t="b">
        <v>1</v>
      </c>
      <c r="L527" t="b">
        <v>0</v>
      </c>
      <c r="M527" t="s">
        <v>1187</v>
      </c>
      <c r="N527" t="s">
        <v>2147</v>
      </c>
      <c r="O527" t="s">
        <v>1309</v>
      </c>
      <c r="P527" t="s">
        <v>2148</v>
      </c>
      <c r="Q527" t="s">
        <v>2167</v>
      </c>
    </row>
    <row r="528" spans="1:17" x14ac:dyDescent="0.25">
      <c r="A528" t="s">
        <v>39</v>
      </c>
      <c r="B528" t="s">
        <v>1378</v>
      </c>
      <c r="C528" t="s">
        <v>279</v>
      </c>
      <c r="D528" t="s">
        <v>1147</v>
      </c>
      <c r="E528">
        <v>-295.328</v>
      </c>
      <c r="F528" t="s">
        <v>2145</v>
      </c>
      <c r="G528" t="s">
        <v>2166</v>
      </c>
      <c r="H528" t="s">
        <v>1188</v>
      </c>
      <c r="I528" t="s">
        <v>1220</v>
      </c>
      <c r="J528" t="s">
        <v>1187</v>
      </c>
      <c r="K528" t="b">
        <v>1</v>
      </c>
      <c r="L528" t="b">
        <v>0</v>
      </c>
      <c r="M528" t="s">
        <v>1187</v>
      </c>
      <c r="N528" t="s">
        <v>2147</v>
      </c>
      <c r="O528" t="s">
        <v>1309</v>
      </c>
      <c r="P528" t="s">
        <v>2148</v>
      </c>
      <c r="Q528" t="s">
        <v>2167</v>
      </c>
    </row>
    <row r="529" spans="1:17" x14ac:dyDescent="0.25">
      <c r="A529" t="s">
        <v>39</v>
      </c>
      <c r="B529" t="s">
        <v>1380</v>
      </c>
      <c r="C529" t="s">
        <v>279</v>
      </c>
      <c r="D529" t="s">
        <v>1232</v>
      </c>
      <c r="E529">
        <v>-256.32399999999996</v>
      </c>
      <c r="F529" t="s">
        <v>2145</v>
      </c>
      <c r="G529" t="s">
        <v>2166</v>
      </c>
      <c r="H529" t="s">
        <v>1188</v>
      </c>
      <c r="I529" t="s">
        <v>1187</v>
      </c>
      <c r="J529" t="s">
        <v>1187</v>
      </c>
      <c r="K529" t="b">
        <v>1</v>
      </c>
      <c r="L529" t="b">
        <v>0</v>
      </c>
      <c r="M529" t="s">
        <v>1187</v>
      </c>
      <c r="N529" t="s">
        <v>2147</v>
      </c>
      <c r="O529" t="s">
        <v>1309</v>
      </c>
      <c r="P529" t="s">
        <v>2148</v>
      </c>
      <c r="Q529" t="s">
        <v>2167</v>
      </c>
    </row>
    <row r="530" spans="1:17" x14ac:dyDescent="0.25">
      <c r="A530" t="s">
        <v>39</v>
      </c>
      <c r="B530" t="s">
        <v>1722</v>
      </c>
      <c r="C530" t="s">
        <v>349</v>
      </c>
      <c r="D530" t="s">
        <v>1137</v>
      </c>
      <c r="E530">
        <v>5575.700000000006</v>
      </c>
      <c r="F530" t="s">
        <v>2145</v>
      </c>
      <c r="G530" t="s">
        <v>2168</v>
      </c>
      <c r="H530" t="s">
        <v>1394</v>
      </c>
      <c r="I530" t="s">
        <v>1187</v>
      </c>
      <c r="J530" t="s">
        <v>1187</v>
      </c>
      <c r="K530" t="b">
        <v>1</v>
      </c>
      <c r="L530" t="b">
        <v>0</v>
      </c>
      <c r="M530" t="s">
        <v>1187</v>
      </c>
      <c r="N530" t="s">
        <v>2147</v>
      </c>
      <c r="O530" t="s">
        <v>1309</v>
      </c>
      <c r="P530" t="s">
        <v>2148</v>
      </c>
      <c r="Q530" t="s">
        <v>2169</v>
      </c>
    </row>
    <row r="531" spans="1:17" x14ac:dyDescent="0.25">
      <c r="A531" t="s">
        <v>39</v>
      </c>
      <c r="B531" t="s">
        <v>1725</v>
      </c>
      <c r="C531" t="s">
        <v>349</v>
      </c>
      <c r="D531" t="s">
        <v>1138</v>
      </c>
      <c r="E531">
        <v>5674.800000000004</v>
      </c>
      <c r="F531" t="s">
        <v>2145</v>
      </c>
      <c r="G531" t="s">
        <v>2168</v>
      </c>
      <c r="H531" t="s">
        <v>1394</v>
      </c>
      <c r="I531" t="s">
        <v>1187</v>
      </c>
      <c r="J531" t="s">
        <v>1187</v>
      </c>
      <c r="K531" t="b">
        <v>1</v>
      </c>
      <c r="L531" t="b">
        <v>0</v>
      </c>
      <c r="M531" t="s">
        <v>1187</v>
      </c>
      <c r="N531" t="s">
        <v>2147</v>
      </c>
      <c r="O531" t="s">
        <v>1309</v>
      </c>
      <c r="P531" t="s">
        <v>2148</v>
      </c>
      <c r="Q531" t="s">
        <v>2169</v>
      </c>
    </row>
    <row r="532" spans="1:17" x14ac:dyDescent="0.25">
      <c r="A532" t="s">
        <v>39</v>
      </c>
      <c r="B532" t="s">
        <v>1727</v>
      </c>
      <c r="C532" t="s">
        <v>349</v>
      </c>
      <c r="D532" t="s">
        <v>1139</v>
      </c>
      <c r="E532">
        <v>6004.400000000003</v>
      </c>
      <c r="F532" t="s">
        <v>2145</v>
      </c>
      <c r="G532" t="s">
        <v>2168</v>
      </c>
      <c r="H532" t="s">
        <v>1394</v>
      </c>
      <c r="I532" t="s">
        <v>1187</v>
      </c>
      <c r="J532" t="s">
        <v>1187</v>
      </c>
      <c r="K532" t="b">
        <v>1</v>
      </c>
      <c r="L532" t="b">
        <v>0</v>
      </c>
      <c r="M532" t="s">
        <v>1187</v>
      </c>
      <c r="N532" t="s">
        <v>2147</v>
      </c>
      <c r="O532" t="s">
        <v>1309</v>
      </c>
      <c r="P532" t="s">
        <v>2148</v>
      </c>
      <c r="Q532" t="s">
        <v>2169</v>
      </c>
    </row>
    <row r="533" spans="1:17" x14ac:dyDescent="0.25">
      <c r="A533" t="s">
        <v>39</v>
      </c>
      <c r="B533" t="s">
        <v>1729</v>
      </c>
      <c r="C533" t="s">
        <v>349</v>
      </c>
      <c r="D533" t="s">
        <v>1140</v>
      </c>
      <c r="E533">
        <v>5917.200000000001</v>
      </c>
      <c r="F533" t="s">
        <v>2145</v>
      </c>
      <c r="G533" t="s">
        <v>2168</v>
      </c>
      <c r="H533" t="s">
        <v>1394</v>
      </c>
      <c r="I533" t="s">
        <v>1187</v>
      </c>
      <c r="J533" t="s">
        <v>1187</v>
      </c>
      <c r="K533" t="b">
        <v>1</v>
      </c>
      <c r="L533" t="b">
        <v>0</v>
      </c>
      <c r="M533" t="s">
        <v>1187</v>
      </c>
      <c r="N533" t="s">
        <v>2147</v>
      </c>
      <c r="O533" t="s">
        <v>1309</v>
      </c>
      <c r="P533" t="s">
        <v>2148</v>
      </c>
      <c r="Q533" t="s">
        <v>2169</v>
      </c>
    </row>
    <row r="534" spans="1:17" x14ac:dyDescent="0.25">
      <c r="A534" t="s">
        <v>39</v>
      </c>
      <c r="B534" t="s">
        <v>1733</v>
      </c>
      <c r="C534" t="s">
        <v>349</v>
      </c>
      <c r="D534" t="s">
        <v>1141</v>
      </c>
      <c r="E534">
        <v>5852.500000000002</v>
      </c>
      <c r="F534" t="s">
        <v>2145</v>
      </c>
      <c r="G534" t="s">
        <v>2168</v>
      </c>
      <c r="H534" t="s">
        <v>1394</v>
      </c>
      <c r="I534" t="s">
        <v>1187</v>
      </c>
      <c r="J534" t="s">
        <v>1187</v>
      </c>
      <c r="K534" t="b">
        <v>1</v>
      </c>
      <c r="L534" t="b">
        <v>0</v>
      </c>
      <c r="M534" t="s">
        <v>1187</v>
      </c>
      <c r="N534" t="s">
        <v>2147</v>
      </c>
      <c r="O534" t="s">
        <v>1309</v>
      </c>
      <c r="P534" t="s">
        <v>2148</v>
      </c>
      <c r="Q534" t="s">
        <v>2169</v>
      </c>
    </row>
    <row r="535" spans="1:17" x14ac:dyDescent="0.25">
      <c r="A535" t="s">
        <v>39</v>
      </c>
      <c r="B535" t="s">
        <v>1735</v>
      </c>
      <c r="C535" t="s">
        <v>349</v>
      </c>
      <c r="D535" t="s">
        <v>1142</v>
      </c>
      <c r="E535">
        <v>6168.199999999997</v>
      </c>
      <c r="F535" t="s">
        <v>2145</v>
      </c>
      <c r="G535" t="s">
        <v>2168</v>
      </c>
      <c r="H535" t="s">
        <v>1394</v>
      </c>
      <c r="I535" t="s">
        <v>1187</v>
      </c>
      <c r="J535" t="s">
        <v>1187</v>
      </c>
      <c r="K535" t="b">
        <v>1</v>
      </c>
      <c r="L535" t="b">
        <v>0</v>
      </c>
      <c r="M535" t="s">
        <v>1187</v>
      </c>
      <c r="N535" t="s">
        <v>2147</v>
      </c>
      <c r="O535" t="s">
        <v>1309</v>
      </c>
      <c r="P535" t="s">
        <v>2148</v>
      </c>
      <c r="Q535" t="s">
        <v>2169</v>
      </c>
    </row>
    <row r="536" spans="1:17" x14ac:dyDescent="0.25">
      <c r="A536" t="s">
        <v>39</v>
      </c>
      <c r="B536" t="s">
        <v>1737</v>
      </c>
      <c r="C536" t="s">
        <v>349</v>
      </c>
      <c r="D536" t="s">
        <v>1143</v>
      </c>
      <c r="E536">
        <v>6289.300000000003</v>
      </c>
      <c r="F536" t="s">
        <v>2145</v>
      </c>
      <c r="G536" t="s">
        <v>2168</v>
      </c>
      <c r="H536" t="s">
        <v>1394</v>
      </c>
      <c r="I536" t="s">
        <v>1187</v>
      </c>
      <c r="J536" t="s">
        <v>1187</v>
      </c>
      <c r="K536" t="b">
        <v>1</v>
      </c>
      <c r="L536" t="b">
        <v>0</v>
      </c>
      <c r="M536" t="s">
        <v>1187</v>
      </c>
      <c r="N536" t="s">
        <v>2147</v>
      </c>
      <c r="O536" t="s">
        <v>1309</v>
      </c>
      <c r="P536" t="s">
        <v>2148</v>
      </c>
      <c r="Q536" t="s">
        <v>2169</v>
      </c>
    </row>
    <row r="537" spans="1:17" x14ac:dyDescent="0.25">
      <c r="A537" t="s">
        <v>39</v>
      </c>
      <c r="B537" t="s">
        <v>1739</v>
      </c>
      <c r="C537" t="s">
        <v>349</v>
      </c>
      <c r="D537" t="s">
        <v>1144</v>
      </c>
      <c r="E537">
        <v>5869</v>
      </c>
      <c r="F537" t="s">
        <v>2145</v>
      </c>
      <c r="G537" t="s">
        <v>2168</v>
      </c>
      <c r="H537" t="s">
        <v>1394</v>
      </c>
      <c r="I537" t="s">
        <v>1187</v>
      </c>
      <c r="J537" t="s">
        <v>1187</v>
      </c>
      <c r="K537" t="b">
        <v>1</v>
      </c>
      <c r="L537" t="b">
        <v>0</v>
      </c>
      <c r="M537" t="s">
        <v>1187</v>
      </c>
      <c r="N537" t="s">
        <v>2147</v>
      </c>
      <c r="O537" t="s">
        <v>1309</v>
      </c>
      <c r="P537" t="s">
        <v>2148</v>
      </c>
      <c r="Q537" t="s">
        <v>2169</v>
      </c>
    </row>
    <row r="538" spans="1:17" x14ac:dyDescent="0.25">
      <c r="A538" t="s">
        <v>39</v>
      </c>
      <c r="B538" t="s">
        <v>1741</v>
      </c>
      <c r="C538" t="s">
        <v>349</v>
      </c>
      <c r="D538" t="s">
        <v>1145</v>
      </c>
      <c r="E538">
        <v>6245</v>
      </c>
      <c r="F538" t="s">
        <v>2145</v>
      </c>
      <c r="G538" t="s">
        <v>2168</v>
      </c>
      <c r="H538" t="s">
        <v>1394</v>
      </c>
      <c r="I538" t="s">
        <v>1187</v>
      </c>
      <c r="J538" t="s">
        <v>1187</v>
      </c>
      <c r="K538" t="b">
        <v>1</v>
      </c>
      <c r="L538" t="b">
        <v>0</v>
      </c>
      <c r="M538" t="s">
        <v>1187</v>
      </c>
      <c r="N538" t="s">
        <v>2147</v>
      </c>
      <c r="O538" t="s">
        <v>1309</v>
      </c>
      <c r="P538" t="s">
        <v>2148</v>
      </c>
      <c r="Q538" t="s">
        <v>2169</v>
      </c>
    </row>
    <row r="539" spans="1:17" x14ac:dyDescent="0.25">
      <c r="A539" t="s">
        <v>39</v>
      </c>
      <c r="B539" t="s">
        <v>1743</v>
      </c>
      <c r="C539" t="s">
        <v>349</v>
      </c>
      <c r="D539" t="s">
        <v>1146</v>
      </c>
      <c r="E539">
        <v>6391</v>
      </c>
      <c r="F539" t="s">
        <v>2145</v>
      </c>
      <c r="G539" t="s">
        <v>2168</v>
      </c>
      <c r="H539" t="s">
        <v>1394</v>
      </c>
      <c r="I539" t="s">
        <v>1187</v>
      </c>
      <c r="J539" t="s">
        <v>1187</v>
      </c>
      <c r="K539" t="b">
        <v>1</v>
      </c>
      <c r="L539" t="b">
        <v>0</v>
      </c>
      <c r="M539" t="s">
        <v>1187</v>
      </c>
      <c r="N539" t="s">
        <v>2147</v>
      </c>
      <c r="O539" t="s">
        <v>1309</v>
      </c>
      <c r="P539" t="s">
        <v>2148</v>
      </c>
      <c r="Q539" t="s">
        <v>2169</v>
      </c>
    </row>
    <row r="540" spans="1:17" x14ac:dyDescent="0.25">
      <c r="A540" t="s">
        <v>39</v>
      </c>
      <c r="B540" t="s">
        <v>1745</v>
      </c>
      <c r="C540" t="s">
        <v>349</v>
      </c>
      <c r="D540" t="s">
        <v>1147</v>
      </c>
      <c r="E540">
        <v>6558</v>
      </c>
      <c r="F540" t="s">
        <v>2145</v>
      </c>
      <c r="G540" t="s">
        <v>2168</v>
      </c>
      <c r="H540" t="s">
        <v>1394</v>
      </c>
      <c r="I540" t="s">
        <v>1187</v>
      </c>
      <c r="J540" t="s">
        <v>1187</v>
      </c>
      <c r="K540" t="b">
        <v>1</v>
      </c>
      <c r="L540" t="b">
        <v>0</v>
      </c>
      <c r="M540" t="s">
        <v>1187</v>
      </c>
      <c r="N540" t="s">
        <v>2147</v>
      </c>
      <c r="O540" t="s">
        <v>1309</v>
      </c>
      <c r="P540" t="s">
        <v>2148</v>
      </c>
      <c r="Q540" t="s">
        <v>2169</v>
      </c>
    </row>
    <row r="541" spans="1:17" x14ac:dyDescent="0.25">
      <c r="A541" t="s">
        <v>39</v>
      </c>
      <c r="B541" t="s">
        <v>1747</v>
      </c>
      <c r="C541" t="s">
        <v>349</v>
      </c>
      <c r="D541" t="s">
        <v>1232</v>
      </c>
      <c r="E541">
        <v>6408</v>
      </c>
      <c r="F541" t="s">
        <v>2145</v>
      </c>
      <c r="G541" t="s">
        <v>2168</v>
      </c>
      <c r="H541" t="s">
        <v>1394</v>
      </c>
      <c r="I541" t="s">
        <v>1187</v>
      </c>
      <c r="J541" t="s">
        <v>1187</v>
      </c>
      <c r="K541" t="b">
        <v>1</v>
      </c>
      <c r="L541" t="b">
        <v>0</v>
      </c>
      <c r="M541" t="s">
        <v>1187</v>
      </c>
      <c r="N541" t="s">
        <v>2147</v>
      </c>
      <c r="O541" t="s">
        <v>1309</v>
      </c>
      <c r="P541" t="s">
        <v>2148</v>
      </c>
      <c r="Q541" t="s">
        <v>2169</v>
      </c>
    </row>
    <row r="542" spans="1:17" x14ac:dyDescent="0.25">
      <c r="A542" t="s">
        <v>39</v>
      </c>
      <c r="B542" t="s">
        <v>1887</v>
      </c>
      <c r="C542" t="s">
        <v>402</v>
      </c>
      <c r="D542" t="s">
        <v>1137</v>
      </c>
      <c r="E542">
        <v>0</v>
      </c>
      <c r="F542" t="s">
        <v>1186</v>
      </c>
      <c r="G542" t="s">
        <v>1187</v>
      </c>
      <c r="H542" t="s">
        <v>1857</v>
      </c>
      <c r="I542" t="s">
        <v>1187</v>
      </c>
      <c r="J542" t="s">
        <v>1187</v>
      </c>
      <c r="K542" t="b">
        <v>1</v>
      </c>
      <c r="L542" t="b">
        <v>0</v>
      </c>
      <c r="M542" t="s">
        <v>1187</v>
      </c>
      <c r="N542" t="s">
        <v>1189</v>
      </c>
      <c r="O542" t="s">
        <v>1190</v>
      </c>
      <c r="P542" t="s">
        <v>1191</v>
      </c>
      <c r="Q542" t="s">
        <v>2170</v>
      </c>
    </row>
    <row r="543" spans="1:17" x14ac:dyDescent="0.25">
      <c r="A543" t="s">
        <v>39</v>
      </c>
      <c r="B543" t="s">
        <v>1890</v>
      </c>
      <c r="C543" t="s">
        <v>402</v>
      </c>
      <c r="D543" t="s">
        <v>1138</v>
      </c>
      <c r="E543">
        <v>0</v>
      </c>
      <c r="F543" t="s">
        <v>1186</v>
      </c>
      <c r="G543" t="s">
        <v>1187</v>
      </c>
      <c r="H543" t="s">
        <v>1857</v>
      </c>
      <c r="I543" t="s">
        <v>1187</v>
      </c>
      <c r="J543" t="s">
        <v>1187</v>
      </c>
      <c r="K543" t="b">
        <v>1</v>
      </c>
      <c r="L543" t="b">
        <v>0</v>
      </c>
      <c r="M543" t="s">
        <v>1187</v>
      </c>
      <c r="N543" t="s">
        <v>1189</v>
      </c>
      <c r="O543" t="s">
        <v>1190</v>
      </c>
      <c r="P543" t="s">
        <v>1191</v>
      </c>
      <c r="Q543" t="s">
        <v>2170</v>
      </c>
    </row>
    <row r="544" spans="1:17" x14ac:dyDescent="0.25">
      <c r="A544" t="s">
        <v>39</v>
      </c>
      <c r="B544" t="s">
        <v>1892</v>
      </c>
      <c r="C544" t="s">
        <v>402</v>
      </c>
      <c r="D544" t="s">
        <v>1139</v>
      </c>
      <c r="E544">
        <v>0</v>
      </c>
      <c r="F544" t="s">
        <v>1186</v>
      </c>
      <c r="G544" t="s">
        <v>1187</v>
      </c>
      <c r="H544" t="s">
        <v>1857</v>
      </c>
      <c r="I544" t="s">
        <v>1187</v>
      </c>
      <c r="J544" t="s">
        <v>1187</v>
      </c>
      <c r="K544" t="b">
        <v>1</v>
      </c>
      <c r="L544" t="b">
        <v>0</v>
      </c>
      <c r="M544" t="s">
        <v>1187</v>
      </c>
      <c r="N544" t="s">
        <v>1189</v>
      </c>
      <c r="O544" t="s">
        <v>1190</v>
      </c>
      <c r="P544" t="s">
        <v>1191</v>
      </c>
      <c r="Q544" t="s">
        <v>2170</v>
      </c>
    </row>
    <row r="545" spans="1:17" x14ac:dyDescent="0.25">
      <c r="A545" t="s">
        <v>39</v>
      </c>
      <c r="B545" t="s">
        <v>1895</v>
      </c>
      <c r="C545" t="s">
        <v>402</v>
      </c>
      <c r="D545" t="s">
        <v>1140</v>
      </c>
      <c r="E545">
        <v>0</v>
      </c>
      <c r="F545" t="s">
        <v>1186</v>
      </c>
      <c r="G545" t="s">
        <v>1187</v>
      </c>
      <c r="H545" t="s">
        <v>1857</v>
      </c>
      <c r="I545" t="s">
        <v>1187</v>
      </c>
      <c r="J545" t="s">
        <v>1187</v>
      </c>
      <c r="K545" t="b">
        <v>1</v>
      </c>
      <c r="L545" t="b">
        <v>0</v>
      </c>
      <c r="M545" t="s">
        <v>1187</v>
      </c>
      <c r="N545" t="s">
        <v>1189</v>
      </c>
      <c r="O545" t="s">
        <v>1190</v>
      </c>
      <c r="P545" t="s">
        <v>1191</v>
      </c>
      <c r="Q545" t="s">
        <v>2170</v>
      </c>
    </row>
    <row r="546" spans="1:17" x14ac:dyDescent="0.25">
      <c r="A546" t="s">
        <v>39</v>
      </c>
      <c r="B546" t="s">
        <v>1898</v>
      </c>
      <c r="C546" t="s">
        <v>402</v>
      </c>
      <c r="D546" t="s">
        <v>1141</v>
      </c>
      <c r="E546">
        <v>0</v>
      </c>
      <c r="F546" t="s">
        <v>1186</v>
      </c>
      <c r="G546" t="s">
        <v>1187</v>
      </c>
      <c r="H546" t="s">
        <v>1857</v>
      </c>
      <c r="I546" t="s">
        <v>1187</v>
      </c>
      <c r="J546" t="s">
        <v>1187</v>
      </c>
      <c r="K546" t="b">
        <v>1</v>
      </c>
      <c r="L546" t="b">
        <v>0</v>
      </c>
      <c r="M546" t="s">
        <v>1187</v>
      </c>
      <c r="N546" t="s">
        <v>1189</v>
      </c>
      <c r="O546" t="s">
        <v>1190</v>
      </c>
      <c r="P546" t="s">
        <v>1191</v>
      </c>
      <c r="Q546" t="s">
        <v>2170</v>
      </c>
    </row>
    <row r="547" spans="1:17" x14ac:dyDescent="0.25">
      <c r="A547" t="s">
        <v>39</v>
      </c>
      <c r="B547" t="s">
        <v>1899</v>
      </c>
      <c r="C547" t="s">
        <v>402</v>
      </c>
      <c r="D547" t="s">
        <v>1142</v>
      </c>
      <c r="E547">
        <v>0</v>
      </c>
      <c r="F547" t="s">
        <v>1186</v>
      </c>
      <c r="G547" t="s">
        <v>1187</v>
      </c>
      <c r="H547" t="s">
        <v>1857</v>
      </c>
      <c r="I547" t="s">
        <v>1187</v>
      </c>
      <c r="J547" t="s">
        <v>1187</v>
      </c>
      <c r="K547" t="b">
        <v>1</v>
      </c>
      <c r="L547" t="b">
        <v>0</v>
      </c>
      <c r="M547" t="s">
        <v>1187</v>
      </c>
      <c r="N547" t="s">
        <v>1189</v>
      </c>
      <c r="O547" t="s">
        <v>1190</v>
      </c>
      <c r="P547" t="s">
        <v>1191</v>
      </c>
      <c r="Q547" t="s">
        <v>2170</v>
      </c>
    </row>
    <row r="548" spans="1:17" x14ac:dyDescent="0.25">
      <c r="A548" t="s">
        <v>39</v>
      </c>
      <c r="B548" t="s">
        <v>1902</v>
      </c>
      <c r="C548" t="s">
        <v>402</v>
      </c>
      <c r="D548" t="s">
        <v>1143</v>
      </c>
      <c r="E548">
        <v>0</v>
      </c>
      <c r="F548" t="s">
        <v>1186</v>
      </c>
      <c r="G548" t="s">
        <v>1187</v>
      </c>
      <c r="H548" t="s">
        <v>1857</v>
      </c>
      <c r="I548" t="s">
        <v>1187</v>
      </c>
      <c r="J548" t="s">
        <v>1187</v>
      </c>
      <c r="K548" t="b">
        <v>1</v>
      </c>
      <c r="L548" t="b">
        <v>0</v>
      </c>
      <c r="M548" t="s">
        <v>1187</v>
      </c>
      <c r="N548" t="s">
        <v>1189</v>
      </c>
      <c r="O548" t="s">
        <v>1190</v>
      </c>
      <c r="P548" t="s">
        <v>1191</v>
      </c>
      <c r="Q548" t="s">
        <v>2170</v>
      </c>
    </row>
    <row r="549" spans="1:17" x14ac:dyDescent="0.25">
      <c r="A549" t="s">
        <v>39</v>
      </c>
      <c r="B549" t="s">
        <v>1905</v>
      </c>
      <c r="C549" t="s">
        <v>402</v>
      </c>
      <c r="D549" t="s">
        <v>1144</v>
      </c>
      <c r="E549">
        <v>0</v>
      </c>
      <c r="F549" t="s">
        <v>1186</v>
      </c>
      <c r="G549" t="s">
        <v>1187</v>
      </c>
      <c r="H549" t="s">
        <v>1857</v>
      </c>
      <c r="I549" t="s">
        <v>1187</v>
      </c>
      <c r="J549" t="s">
        <v>1187</v>
      </c>
      <c r="K549" t="b">
        <v>1</v>
      </c>
      <c r="L549" t="b">
        <v>0</v>
      </c>
      <c r="M549" t="s">
        <v>1187</v>
      </c>
      <c r="N549" t="s">
        <v>1189</v>
      </c>
      <c r="O549" t="s">
        <v>1190</v>
      </c>
      <c r="P549" t="s">
        <v>1191</v>
      </c>
      <c r="Q549" t="s">
        <v>2170</v>
      </c>
    </row>
    <row r="550" spans="1:17" x14ac:dyDescent="0.25">
      <c r="A550" t="s">
        <v>39</v>
      </c>
      <c r="B550" t="s">
        <v>1908</v>
      </c>
      <c r="C550" t="s">
        <v>402</v>
      </c>
      <c r="D550" t="s">
        <v>1145</v>
      </c>
      <c r="E550">
        <v>0</v>
      </c>
      <c r="F550" t="s">
        <v>1186</v>
      </c>
      <c r="G550" t="s">
        <v>1187</v>
      </c>
      <c r="H550" t="s">
        <v>1857</v>
      </c>
      <c r="I550" t="s">
        <v>1187</v>
      </c>
      <c r="J550" t="s">
        <v>1187</v>
      </c>
      <c r="K550" t="b">
        <v>1</v>
      </c>
      <c r="L550" t="b">
        <v>0</v>
      </c>
      <c r="M550" t="s">
        <v>1187</v>
      </c>
      <c r="N550" t="s">
        <v>1189</v>
      </c>
      <c r="O550" t="s">
        <v>1190</v>
      </c>
      <c r="P550" t="s">
        <v>1191</v>
      </c>
      <c r="Q550" t="s">
        <v>2170</v>
      </c>
    </row>
    <row r="551" spans="1:17" x14ac:dyDescent="0.25">
      <c r="A551" t="s">
        <v>39</v>
      </c>
      <c r="B551" t="s">
        <v>1910</v>
      </c>
      <c r="C551" t="s">
        <v>402</v>
      </c>
      <c r="D551" t="s">
        <v>1146</v>
      </c>
      <c r="E551">
        <v>0</v>
      </c>
      <c r="F551" t="s">
        <v>1186</v>
      </c>
      <c r="G551" t="s">
        <v>1187</v>
      </c>
      <c r="H551" t="s">
        <v>1857</v>
      </c>
      <c r="I551" t="s">
        <v>1187</v>
      </c>
      <c r="J551" t="s">
        <v>1187</v>
      </c>
      <c r="K551" t="b">
        <v>1</v>
      </c>
      <c r="L551" t="b">
        <v>0</v>
      </c>
      <c r="M551" t="s">
        <v>1187</v>
      </c>
      <c r="N551" t="s">
        <v>1189</v>
      </c>
      <c r="O551" t="s">
        <v>1190</v>
      </c>
      <c r="P551" t="s">
        <v>1191</v>
      </c>
      <c r="Q551" t="s">
        <v>2170</v>
      </c>
    </row>
    <row r="552" spans="1:17" x14ac:dyDescent="0.25">
      <c r="A552" t="s">
        <v>39</v>
      </c>
      <c r="B552" t="s">
        <v>1913</v>
      </c>
      <c r="C552" t="s">
        <v>402</v>
      </c>
      <c r="D552" t="s">
        <v>1147</v>
      </c>
      <c r="E552">
        <v>0</v>
      </c>
      <c r="F552" t="s">
        <v>1186</v>
      </c>
      <c r="G552" t="s">
        <v>1187</v>
      </c>
      <c r="H552" t="s">
        <v>1857</v>
      </c>
      <c r="I552" t="s">
        <v>1187</v>
      </c>
      <c r="J552" t="s">
        <v>1187</v>
      </c>
      <c r="K552" t="b">
        <v>1</v>
      </c>
      <c r="L552" t="b">
        <v>0</v>
      </c>
      <c r="M552" t="s">
        <v>1187</v>
      </c>
      <c r="N552" t="s">
        <v>1189</v>
      </c>
      <c r="O552" t="s">
        <v>1190</v>
      </c>
      <c r="P552" t="s">
        <v>1191</v>
      </c>
      <c r="Q552" t="s">
        <v>2170</v>
      </c>
    </row>
    <row r="553" spans="1:17" x14ac:dyDescent="0.25">
      <c r="A553" t="s">
        <v>39</v>
      </c>
      <c r="B553" t="s">
        <v>1916</v>
      </c>
      <c r="C553" t="s">
        <v>402</v>
      </c>
      <c r="D553" t="s">
        <v>1232</v>
      </c>
      <c r="E553">
        <v>0</v>
      </c>
      <c r="F553" t="s">
        <v>1186</v>
      </c>
      <c r="G553" t="s">
        <v>1187</v>
      </c>
      <c r="H553" t="s">
        <v>1857</v>
      </c>
      <c r="I553" t="s">
        <v>1187</v>
      </c>
      <c r="J553" t="s">
        <v>1187</v>
      </c>
      <c r="K553" t="b">
        <v>1</v>
      </c>
      <c r="L553" t="b">
        <v>0</v>
      </c>
      <c r="M553" t="s">
        <v>1187</v>
      </c>
      <c r="N553" t="s">
        <v>1189</v>
      </c>
      <c r="O553" t="s">
        <v>1190</v>
      </c>
      <c r="P553" t="s">
        <v>1191</v>
      </c>
      <c r="Q553" t="s">
        <v>2170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2:26" x14ac:dyDescent="0.25">
      <c r="B1" s="1"/>
      <c r="C1" s="2" t="str">
        <f>Company_Name&amp;" - "&amp;MID(CELL("filename",A1),FIND("]",CELL("filename",A1))+1,255)&amp;": "&amp;Case_Scenario&amp;" Case"</f>
        <v>Republic Services, Inc. - Cover: Base Case</v>
      </c>
      <c r="D1" s="1"/>
      <c r="E1" s="1"/>
      <c r="F1" s="1"/>
      <c r="G1" s="1"/>
      <c r="H1" s="1"/>
      <c r="I1" s="1"/>
      <c r="J1" s="1"/>
      <c r="K1" s="1"/>
      <c r="L1" s="1"/>
      <c r="M1" s="1"/>
      <c r="N1" s="1"/>
      <c r="O1" s="1"/>
      <c r="P1" s="1"/>
      <c r="Q1" s="3" t="s">
        <v>0</v>
      </c>
      <c r="R1" s="1"/>
      <c r="S1" s="1"/>
      <c r="T1" s="1"/>
      <c r="U1" s="1"/>
      <c r="V1" s="1"/>
      <c r="W1" s="1"/>
      <c r="X1" s="1"/>
      <c r="Y1" s="1"/>
      <c r="Z1" s="1"/>
    </row>
    <row r="2" ht="13.5" customHeight="1"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ht="13.5" customHeight="1"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ht="13.5" customHeight="1"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ht="13.5" customHeight="1" spans="1:26" x14ac:dyDescent="0.25">
      <c r="A5" s="8"/>
      <c r="B5" s="8"/>
      <c r="C5" s="8"/>
      <c r="D5" s="8"/>
      <c r="E5" s="8"/>
      <c r="F5" s="8"/>
      <c r="G5" s="8"/>
      <c r="H5" s="8"/>
      <c r="I5" s="8"/>
      <c r="J5" s="8"/>
      <c r="K5" s="8"/>
      <c r="L5" s="8"/>
      <c r="M5" s="8"/>
      <c r="N5" s="8"/>
      <c r="O5" s="8"/>
      <c r="P5" s="8"/>
      <c r="Q5" s="8"/>
      <c r="R5" s="8"/>
      <c r="S5" s="8"/>
      <c r="T5" s="8"/>
      <c r="U5" s="8"/>
      <c r="V5" s="8"/>
      <c r="W5" s="8"/>
      <c r="X5" s="8"/>
      <c r="Y5" s="8"/>
      <c r="Z5" s="8"/>
    </row>
    <row r="6" ht="13.5" customHeight="1"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ht="13.5" customHeight="1" spans="1:26" x14ac:dyDescent="0.25">
      <c r="A7" s="8"/>
      <c r="B7" s="8"/>
      <c r="D7" s="8"/>
      <c r="E7" s="8"/>
      <c r="F7" s="8"/>
      <c r="G7" s="8"/>
      <c r="H7" s="8"/>
      <c r="I7" s="4"/>
      <c r="J7" s="4"/>
      <c r="K7" s="4"/>
      <c r="L7" s="4"/>
      <c r="M7" s="8"/>
      <c r="N7" s="4"/>
      <c r="O7" s="4"/>
      <c r="P7" s="4"/>
      <c r="Q7" s="4"/>
      <c r="R7" s="8"/>
      <c r="S7" s="8"/>
      <c r="T7" s="8"/>
      <c r="U7" s="8"/>
      <c r="V7" s="8"/>
      <c r="W7" s="8"/>
      <c r="X7" s="8"/>
      <c r="Y7" s="8"/>
      <c r="Z7" s="8"/>
    </row>
    <row r="8" ht="13.5" customHeight="1"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ht="13.5" customHeight="1" spans="1:26" x14ac:dyDescent="0.25">
      <c r="A9" s="8"/>
      <c r="B9" s="8"/>
      <c r="C9" s="8"/>
      <c r="D9" s="8"/>
      <c r="E9" s="8"/>
      <c r="F9" s="8"/>
      <c r="H9" s="8"/>
      <c r="I9" s="17" t="s">
        <v>10</v>
      </c>
      <c r="J9" s="4"/>
      <c r="K9" s="4"/>
      <c r="L9" s="18">
        <f>Valuation!K65</f>
        <v>89474.7792458818</v>
      </c>
      <c r="M9" s="8"/>
      <c r="N9" s="17"/>
      <c r="O9" s="4"/>
      <c r="P9" s="19" t="s">
        <v>11</v>
      </c>
      <c r="Q9" s="20" t="s">
        <v>12</v>
      </c>
      <c r="R9" s="8"/>
      <c r="S9" s="8"/>
      <c r="T9" s="8"/>
      <c r="U9" s="8"/>
      <c r="V9" s="8"/>
      <c r="W9" s="8"/>
      <c r="X9" s="8"/>
      <c r="Y9" s="8"/>
      <c r="Z9" s="8"/>
    </row>
    <row r="10" ht="13.5" customHeight="1" spans="1:26" x14ac:dyDescent="0.25">
      <c r="A10" s="8"/>
      <c r="B10" s="8"/>
      <c r="C10" s="8"/>
      <c r="D10" s="8"/>
      <c r="E10" s="8"/>
      <c r="F10" s="8"/>
      <c r="G10" s="8"/>
      <c r="H10" s="8"/>
      <c r="I10" s="17" t="s">
        <v>13</v>
      </c>
      <c r="J10" s="4"/>
      <c r="K10" s="4"/>
      <c r="L10" s="21">
        <f>Valuation!K72</f>
        <v>76784.35293008054</v>
      </c>
      <c r="M10" s="8"/>
      <c r="N10" s="17"/>
      <c r="O10" s="4"/>
      <c r="P10" s="4"/>
      <c r="Q10" s="22"/>
      <c r="R10" s="8"/>
      <c r="S10" s="8"/>
      <c r="T10" s="8"/>
      <c r="U10" s="8"/>
      <c r="V10" s="8"/>
      <c r="W10" s="8"/>
      <c r="X10" s="8"/>
      <c r="Y10" s="8"/>
      <c r="Z10" s="8"/>
    </row>
    <row r="11" ht="13.5" customHeight="1" spans="1:26" x14ac:dyDescent="0.25">
      <c r="A11" s="8"/>
      <c r="B11" s="8"/>
      <c r="C11" s="8"/>
      <c r="D11" s="8"/>
      <c r="E11" s="8"/>
      <c r="F11" s="8"/>
      <c r="G11" s="8"/>
      <c r="H11" s="8"/>
      <c r="I11" s="17"/>
      <c r="J11" s="4"/>
      <c r="K11" s="4"/>
      <c r="L11" s="23"/>
      <c r="M11" s="8"/>
      <c r="N11" s="17" t="s">
        <v>14</v>
      </c>
      <c r="O11" s="4"/>
      <c r="P11" s="24">
        <f>Valuation!O137</f>
        <v>230.3544547894916</v>
      </c>
      <c r="Q11" s="25">
        <f>Valuation!O138</f>
        <v>0.11524790505684623</v>
      </c>
      <c r="R11" s="8"/>
      <c r="S11" s="8"/>
      <c r="T11" s="8"/>
      <c r="U11" s="8"/>
      <c r="V11" s="8"/>
      <c r="W11" s="8"/>
      <c r="X11" s="8"/>
      <c r="Y11" s="8"/>
      <c r="Z11" s="8"/>
    </row>
    <row r="12" ht="13.5" customHeight="1" spans="1:26" x14ac:dyDescent="0.25">
      <c r="A12" s="8"/>
      <c r="B12" s="8"/>
      <c r="C12" s="8"/>
      <c r="D12" s="8"/>
      <c r="E12" s="8"/>
      <c r="F12" s="8"/>
      <c r="G12" s="8"/>
      <c r="H12" s="8"/>
      <c r="I12" s="26" t="s">
        <v>15</v>
      </c>
      <c r="J12" s="27"/>
      <c r="K12" s="27"/>
      <c r="L12" s="28">
        <f>Valuation!K76</f>
        <v>245.8672844382982</v>
      </c>
      <c r="M12" s="8"/>
      <c r="N12" s="17"/>
      <c r="O12" s="4"/>
      <c r="P12" s="4"/>
      <c r="Q12" s="22"/>
      <c r="R12" s="8"/>
      <c r="S12" s="8"/>
      <c r="T12" s="8"/>
      <c r="U12" s="8"/>
      <c r="V12" s="8"/>
      <c r="W12" s="8"/>
      <c r="X12" s="8"/>
      <c r="Y12" s="8"/>
      <c r="Z12" s="8"/>
    </row>
    <row r="13" ht="13.5" customHeight="1" spans="1:26" x14ac:dyDescent="0.25">
      <c r="A13" s="8"/>
      <c r="B13" s="8"/>
      <c r="C13" s="8"/>
      <c r="D13" s="8"/>
      <c r="E13" s="8"/>
      <c r="F13" s="8"/>
      <c r="G13" s="8"/>
      <c r="H13" s="8"/>
      <c r="I13" s="29" t="s">
        <v>12</v>
      </c>
      <c r="J13" s="30"/>
      <c r="K13" s="30"/>
      <c r="L13" s="31">
        <f>Valuation!K77</f>
        <v>0.19035238169110724</v>
      </c>
      <c r="M13" s="8"/>
      <c r="N13" s="32" t="s">
        <v>16</v>
      </c>
      <c r="O13" s="30"/>
      <c r="P13" s="33">
        <f>Valuation!O215</f>
        <v>212.86147015526475</v>
      </c>
      <c r="Q13" s="31">
        <f>Valuation!O216</f>
        <v>0.030556621424665975</v>
      </c>
      <c r="R13" s="8"/>
      <c r="S13" s="8"/>
      <c r="T13" s="8"/>
      <c r="U13" s="8"/>
      <c r="V13" s="8"/>
      <c r="W13" s="8"/>
      <c r="X13" s="8"/>
      <c r="Y13" s="8"/>
      <c r="Z13" s="8"/>
    </row>
    <row r="14" ht="13.5" customHeight="1"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ht="13.5" customHeight="1"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ht="13.5" customHeight="1" spans="1:26" x14ac:dyDescent="0.25">
      <c r="A16" s="8"/>
      <c r="B16" s="8"/>
      <c r="C16" s="8"/>
      <c r="D16" s="8"/>
      <c r="E16" s="8"/>
      <c r="F16" s="8"/>
      <c r="G16" s="8"/>
      <c r="H16" s="8"/>
      <c r="I16" s="17" t="s">
        <v>10</v>
      </c>
      <c r="J16" s="4"/>
      <c r="K16" s="4"/>
      <c r="L16" s="18">
        <f>Valuation!S65</f>
        <v>95925.29736671782</v>
      </c>
      <c r="M16" s="8"/>
      <c r="N16" s="17"/>
      <c r="O16" s="4"/>
      <c r="P16" s="19" t="s">
        <v>11</v>
      </c>
      <c r="Q16" s="20" t="s">
        <v>12</v>
      </c>
      <c r="R16" s="8"/>
      <c r="S16" s="8"/>
      <c r="T16" s="8"/>
      <c r="U16" s="8"/>
      <c r="V16" s="8"/>
      <c r="W16" s="8"/>
      <c r="X16" s="8"/>
      <c r="Y16" s="8"/>
      <c r="Z16" s="8"/>
    </row>
    <row r="17" ht="13.5" customHeight="1" spans="1:26" x14ac:dyDescent="0.25">
      <c r="A17" s="8"/>
      <c r="B17" s="8"/>
      <c r="C17" s="8"/>
      <c r="D17" s="8"/>
      <c r="E17" s="8"/>
      <c r="F17" s="8"/>
      <c r="G17" s="8"/>
      <c r="H17" s="8"/>
      <c r="I17" s="17" t="s">
        <v>13</v>
      </c>
      <c r="J17" s="4"/>
      <c r="K17" s="4"/>
      <c r="L17" s="21">
        <f>Valuation!S72</f>
        <v>83234.87105091655</v>
      </c>
      <c r="M17" s="8"/>
      <c r="N17" s="17"/>
      <c r="O17" s="4"/>
      <c r="P17" s="4"/>
      <c r="Q17" s="22"/>
      <c r="R17" s="8"/>
      <c r="S17" s="8"/>
      <c r="T17" s="8"/>
      <c r="U17" s="8"/>
      <c r="V17" s="8"/>
      <c r="W17" s="8"/>
      <c r="X17" s="8"/>
      <c r="Y17" s="8"/>
      <c r="Z17" s="8"/>
    </row>
    <row r="18" ht="13.5" customHeight="1" spans="1:26" x14ac:dyDescent="0.25">
      <c r="A18" s="8"/>
      <c r="B18" s="8"/>
      <c r="C18" s="8"/>
      <c r="D18" s="8"/>
      <c r="E18" s="8"/>
      <c r="F18" s="8"/>
      <c r="G18" s="8"/>
      <c r="H18" s="8"/>
      <c r="I18" s="17"/>
      <c r="J18" s="4"/>
      <c r="K18" s="4"/>
      <c r="L18" s="23"/>
      <c r="M18" s="8"/>
      <c r="N18" s="17" t="s">
        <v>19</v>
      </c>
      <c r="O18" s="4"/>
      <c r="P18" s="24" t="e">
        <f>Valuation!F126</f>
        <v>#DIV/0!</v>
      </c>
      <c r="Q18" s="25" t="e">
        <f>Valuation!F127</f>
        <v>#DIV/0!</v>
      </c>
      <c r="R18" s="8"/>
      <c r="S18" s="8"/>
      <c r="T18" s="8"/>
      <c r="U18" s="8"/>
      <c r="V18" s="8"/>
      <c r="W18" s="8"/>
      <c r="X18" s="8"/>
      <c r="Y18" s="8"/>
      <c r="Z18" s="8"/>
    </row>
    <row r="19" ht="13.5" customHeight="1" spans="1:26" x14ac:dyDescent="0.25">
      <c r="A19" s="8"/>
      <c r="B19" s="8"/>
      <c r="C19" s="8" t="s">
        <v>20</v>
      </c>
      <c r="D19" s="8"/>
      <c r="E19" s="8"/>
      <c r="F19" s="34" t="s">
        <v>21</v>
      </c>
      <c r="G19" s="8"/>
      <c r="H19" s="8"/>
      <c r="I19" s="26" t="s">
        <v>15</v>
      </c>
      <c r="J19" s="27"/>
      <c r="K19" s="27"/>
      <c r="L19" s="28">
        <f>Valuation!S76</f>
        <v>266.5221615463226</v>
      </c>
      <c r="M19" s="8"/>
      <c r="N19" s="17"/>
      <c r="O19" s="4"/>
      <c r="P19" s="4"/>
      <c r="Q19" s="22"/>
      <c r="R19" s="8"/>
      <c r="S19" s="8"/>
      <c r="T19" s="8"/>
      <c r="U19" s="8"/>
      <c r="V19" s="8"/>
      <c r="W19" s="8"/>
      <c r="X19" s="8"/>
      <c r="Y19" s="8"/>
      <c r="Z19" s="8"/>
    </row>
    <row r="20" ht="13.5" customHeight="1" spans="1:26" x14ac:dyDescent="0.25">
      <c r="A20" s="8"/>
      <c r="B20" s="8"/>
      <c r="C20" s="8" t="s">
        <v>22</v>
      </c>
      <c r="D20" s="8"/>
      <c r="E20" s="8"/>
      <c r="F20" s="34" t="s">
        <v>23</v>
      </c>
      <c r="G20" s="8"/>
      <c r="H20" s="8"/>
      <c r="I20" s="29" t="s">
        <v>12</v>
      </c>
      <c r="J20" s="30"/>
      <c r="K20" s="30"/>
      <c r="L20" s="31">
        <f>Valuation!S77</f>
        <v>0.29035178671664275</v>
      </c>
      <c r="M20" s="8"/>
      <c r="N20" s="32" t="s">
        <v>24</v>
      </c>
      <c r="O20" s="30"/>
      <c r="P20" s="33" t="e">
        <f>Valuation!F204</f>
        <v>#DIV/0!</v>
      </c>
      <c r="Q20" s="31" t="e">
        <f>Valuation!F205</f>
        <v>#DIV/0!</v>
      </c>
      <c r="R20" s="8"/>
      <c r="S20" s="8"/>
      <c r="T20" s="8"/>
      <c r="U20" s="8"/>
      <c r="V20" s="8"/>
      <c r="W20" s="8"/>
      <c r="X20" s="8"/>
      <c r="Y20" s="8"/>
      <c r="Z20" s="8"/>
    </row>
    <row r="21" ht="13.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3.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3.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3.5" customHeight="1" spans="1:26" x14ac:dyDescent="0.25">
      <c r="A24" s="8"/>
      <c r="B24" s="8"/>
      <c r="C24" s="8" t="s">
        <v>28</v>
      </c>
      <c r="D24" s="8"/>
      <c r="E24" s="8"/>
      <c r="F24" s="42">
        <v>45705</v>
      </c>
      <c r="G24" s="8"/>
      <c r="H24" s="8"/>
      <c r="I24" s="43" t="s">
        <v>29</v>
      </c>
      <c r="J24" s="8"/>
      <c r="K24" s="8"/>
      <c r="L24" s="8"/>
      <c r="M24" s="8"/>
      <c r="N24" s="8"/>
      <c r="O24" s="8"/>
      <c r="P24" s="8"/>
      <c r="Q24" s="8"/>
      <c r="R24" s="8"/>
      <c r="S24" s="8"/>
      <c r="T24" s="8"/>
      <c r="U24" s="8"/>
      <c r="V24" s="8"/>
      <c r="W24" s="8"/>
      <c r="X24" s="8"/>
      <c r="Y24" s="8"/>
      <c r="Z24" s="8"/>
    </row>
    <row r="25" ht="13.5" customHeight="1" spans="1:26" x14ac:dyDescent="0.25">
      <c r="A25" s="8"/>
      <c r="B25" s="8"/>
      <c r="C25" s="8" t="s">
        <v>30</v>
      </c>
      <c r="D25" s="8"/>
      <c r="E25" s="8"/>
      <c r="F25" s="44">
        <f>Last_FYE+366</f>
        <v>46071</v>
      </c>
      <c r="G25" s="8"/>
      <c r="H25" s="8"/>
      <c r="I25" s="43" t="s">
        <v>31</v>
      </c>
      <c r="J25" s="8"/>
      <c r="K25" s="8"/>
      <c r="L25" s="8"/>
      <c r="M25" s="8"/>
      <c r="N25" s="8"/>
      <c r="O25" s="8"/>
      <c r="P25" s="8"/>
      <c r="Q25" s="8"/>
      <c r="R25" s="8"/>
      <c r="S25" s="8"/>
      <c r="T25" s="8"/>
      <c r="U25" s="8"/>
      <c r="V25" s="8"/>
      <c r="W25" s="8"/>
      <c r="X25" s="8"/>
      <c r="Y25" s="8"/>
      <c r="Z25" s="8"/>
    </row>
    <row r="26" ht="13.5" customHeight="1" spans="1:26" x14ac:dyDescent="0.25">
      <c r="A26" s="9"/>
      <c r="B26" s="8"/>
      <c r="C26" s="8" t="s">
        <v>32</v>
      </c>
      <c r="D26" s="8"/>
      <c r="E26" s="8"/>
      <c r="F26" s="45" t="s">
        <v>33</v>
      </c>
      <c r="G26" s="8"/>
      <c r="H26" s="8"/>
      <c r="I26" s="43" t="s">
        <v>34</v>
      </c>
      <c r="J26" s="8"/>
      <c r="K26" s="8"/>
      <c r="L26" s="8"/>
      <c r="M26" s="8"/>
      <c r="N26" s="8"/>
      <c r="O26" s="8"/>
      <c r="P26" s="8"/>
      <c r="Q26" s="8"/>
      <c r="R26" s="8"/>
      <c r="S26" s="8"/>
      <c r="T26" s="8"/>
      <c r="U26" s="8"/>
      <c r="V26" s="8"/>
      <c r="W26" s="8"/>
      <c r="X26" s="8"/>
      <c r="Y26" s="8"/>
      <c r="Z26" s="8"/>
    </row>
    <row r="27" ht="13.5" customHeight="1" spans="1:26" x14ac:dyDescent="0.25">
      <c r="A27" s="8"/>
      <c r="B27" s="8"/>
      <c r="C27" s="8" t="s">
        <v>35</v>
      </c>
      <c r="D27" s="8"/>
      <c r="E27" s="8"/>
      <c r="F27" s="42">
        <v>46145</v>
      </c>
      <c r="G27" s="8"/>
      <c r="H27" s="40"/>
      <c r="I27" s="43" t="s">
        <v>36</v>
      </c>
      <c r="J27" s="8"/>
      <c r="K27" s="8"/>
      <c r="L27" s="8"/>
      <c r="M27" s="8"/>
      <c r="N27" s="8"/>
      <c r="O27" s="8"/>
      <c r="P27" s="8"/>
      <c r="Q27" s="8"/>
      <c r="R27" s="8"/>
      <c r="S27" s="8"/>
      <c r="T27" s="8"/>
      <c r="U27" s="8"/>
      <c r="V27" s="8"/>
      <c r="W27" s="8"/>
      <c r="X27" s="8"/>
      <c r="Y27" s="8"/>
      <c r="Z27" s="8"/>
    </row>
    <row r="28" ht="13.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3.5" customHeight="1" spans="1:26" x14ac:dyDescent="0.25">
      <c r="A29" s="8"/>
      <c r="B29" s="8"/>
      <c r="C29" s="8" t="s">
        <v>38</v>
      </c>
      <c r="D29" s="8"/>
      <c r="E29" s="8"/>
      <c r="F29" s="46">
        <v>206.55</v>
      </c>
      <c r="G29" s="8"/>
      <c r="H29" s="8"/>
      <c r="I29" s="43" t="s">
        <v>39</v>
      </c>
      <c r="J29" s="8"/>
      <c r="K29" s="8"/>
      <c r="L29" s="8"/>
      <c r="M29" s="8"/>
      <c r="N29" s="8"/>
      <c r="O29" s="8"/>
      <c r="P29" s="8"/>
      <c r="Q29" s="8"/>
      <c r="R29" s="8"/>
      <c r="S29" s="8"/>
      <c r="T29" s="8"/>
      <c r="U29" s="8"/>
      <c r="V29" s="8"/>
      <c r="W29" s="8"/>
      <c r="X29" s="8"/>
      <c r="Y29" s="8"/>
      <c r="Z29" s="8"/>
    </row>
    <row r="30" ht="13.5" customHeight="1" spans="1:26" x14ac:dyDescent="0.25">
      <c r="A30" s="8"/>
      <c r="B30" s="8"/>
      <c r="C30" s="8" t="s">
        <v>40</v>
      </c>
      <c r="D30" s="8"/>
      <c r="E30" s="8"/>
      <c r="F30" s="46">
        <v>258.75</v>
      </c>
      <c r="G30" s="8"/>
      <c r="H30" s="8"/>
      <c r="I30" s="43" t="s">
        <v>41</v>
      </c>
      <c r="J30" s="8"/>
      <c r="K30" s="8"/>
      <c r="L30" s="8"/>
      <c r="M30" s="8"/>
      <c r="N30" s="8"/>
      <c r="O30" s="8"/>
      <c r="P30" s="8"/>
      <c r="Q30" s="8"/>
      <c r="R30" s="8"/>
      <c r="S30" s="8"/>
      <c r="T30" s="8"/>
      <c r="U30" s="8"/>
      <c r="V30" s="8"/>
      <c r="W30" s="8"/>
      <c r="X30" s="8"/>
      <c r="Y30" s="8"/>
      <c r="Z30" s="8"/>
    </row>
    <row r="31" ht="13.5" customHeight="1" spans="1:26" x14ac:dyDescent="0.25">
      <c r="A31" s="8"/>
      <c r="B31" s="8"/>
      <c r="C31" s="8" t="s">
        <v>42</v>
      </c>
      <c r="D31" s="8"/>
      <c r="E31" s="8"/>
      <c r="F31" s="46">
        <v>201.42</v>
      </c>
      <c r="G31" s="8"/>
      <c r="H31" s="40"/>
      <c r="I31" s="43" t="s">
        <v>43</v>
      </c>
      <c r="J31" s="8"/>
      <c r="K31" s="8"/>
      <c r="L31" s="8"/>
      <c r="M31" s="8"/>
      <c r="N31" s="8"/>
      <c r="O31" s="8"/>
      <c r="P31" s="8"/>
      <c r="Q31" s="8"/>
      <c r="R31" s="8"/>
      <c r="S31" s="8"/>
      <c r="T31" s="8"/>
      <c r="U31" s="8"/>
      <c r="V31" s="8"/>
      <c r="W31" s="8"/>
      <c r="X31" s="8"/>
      <c r="Y31" s="8"/>
      <c r="Z31" s="8"/>
    </row>
    <row r="32" ht="13.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3.5" customHeight="1" spans="1:26" x14ac:dyDescent="0.25">
      <c r="A33" s="8"/>
      <c r="B33" s="8"/>
      <c r="C33" s="8" t="s">
        <v>45</v>
      </c>
      <c r="D33" s="8"/>
      <c r="E33" s="8"/>
      <c r="F33" s="47">
        <v>0.1776</v>
      </c>
      <c r="G33" s="8"/>
      <c r="H33" s="40"/>
      <c r="I33" s="43" t="s">
        <v>46</v>
      </c>
      <c r="J33" s="8"/>
      <c r="K33" s="8"/>
      <c r="L33" s="8"/>
      <c r="M33" s="8"/>
      <c r="N33" s="8"/>
      <c r="O33" s="8"/>
      <c r="P33" s="8"/>
      <c r="Q33" s="8"/>
      <c r="R33" s="8"/>
      <c r="S33" s="8"/>
      <c r="T33" s="8"/>
      <c r="U33" s="8"/>
      <c r="V33" s="8"/>
      <c r="W33" s="8"/>
      <c r="X33" s="8"/>
      <c r="Y33" s="8"/>
      <c r="Z33" s="8"/>
    </row>
    <row r="34" ht="13.5" customHeight="1" spans="1:26" x14ac:dyDescent="0.25">
      <c r="A34" s="8"/>
      <c r="B34" s="8"/>
      <c r="C34" s="8" t="s">
        <v>47</v>
      </c>
      <c r="D34" s="8"/>
      <c r="E34" s="8"/>
      <c r="F34" s="47">
        <v>0.0116</v>
      </c>
      <c r="G34" s="8"/>
      <c r="H34" s="40"/>
      <c r="I34" s="43" t="s">
        <v>48</v>
      </c>
      <c r="J34" s="8"/>
      <c r="K34" s="8"/>
      <c r="L34" s="8"/>
      <c r="M34" s="8"/>
      <c r="N34" s="8"/>
      <c r="O34" s="8"/>
      <c r="P34" s="8"/>
      <c r="Q34" s="8"/>
      <c r="R34" s="8"/>
      <c r="S34" s="8"/>
      <c r="T34" s="8"/>
      <c r="U34" s="8"/>
      <c r="V34" s="8"/>
      <c r="W34" s="8"/>
      <c r="X34" s="8"/>
      <c r="Y34" s="8"/>
      <c r="Z34" s="8"/>
    </row>
    <row r="35" ht="13.5" customHeight="1" spans="1:26" x14ac:dyDescent="0.25">
      <c r="A35" s="8"/>
      <c r="B35" s="8"/>
      <c r="C35" s="8" t="s">
        <v>49</v>
      </c>
      <c r="D35" s="8"/>
      <c r="E35" s="8"/>
      <c r="F35" s="48">
        <f>IF(Last_FQR="1Q",Model!U287,IF(Last_FQR="2Q",Model!V287,IF(Last_FQR="3Q",Model!W287,Model!X287)))</f>
        <v>0</v>
      </c>
      <c r="G35" s="8"/>
      <c r="H35" s="40"/>
      <c r="I35" s="43" t="s">
        <v>50</v>
      </c>
      <c r="J35" s="8"/>
      <c r="K35" s="8"/>
      <c r="L35" s="8"/>
      <c r="M35" s="8"/>
      <c r="N35" s="8"/>
      <c r="O35" s="8"/>
      <c r="P35" s="8"/>
      <c r="Q35" s="8"/>
      <c r="R35" s="8"/>
      <c r="S35" s="8"/>
      <c r="T35" s="8"/>
      <c r="U35" s="8"/>
      <c r="V35" s="8"/>
      <c r="W35" s="8"/>
      <c r="X35" s="8"/>
      <c r="Y35" s="8"/>
      <c r="Z35" s="8"/>
    </row>
    <row r="36" ht="13.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3.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3.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3.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3.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3.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3.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3.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3.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3.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3.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3.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3.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3.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3.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3.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3.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3.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3.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3.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3.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3.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3.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3.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3.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3.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3.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3.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3.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3.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3.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3.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3.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3.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3.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3.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3.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3.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3.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
      <c r="B1" s="1"/>
      <c r="C1" s="2" t="str">
        <f>Company_Name&amp;" - "&amp;MID(CELL("filename",A1),FIND("]",CELL("filename",A1))+1,255)&amp;": "&amp;Case_Scenario&amp;" Case"</f>
        <v>Republic Services,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ht="13.5" customHeight="1"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t="13.5" customHeight="1"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ht="13.5" customHeight="1"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ht="13.5" customHeight="1"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ht="13.5" customHeight="1" spans="1:31" x14ac:dyDescent="0.25">
      <c r="A8" s="9"/>
      <c r="B8" s="8"/>
      <c r="C8" s="8" t="str">
        <f>Model!C28</f>
        <v>Revenue</v>
      </c>
      <c r="D8" s="8"/>
      <c r="E8" s="8"/>
      <c r="F8" s="8"/>
      <c r="G8" s="107">
        <f>Model!P28</f>
        <v>4009</v>
      </c>
      <c r="H8" s="107">
        <f>Model!Q28</f>
        <v>4235</v>
      </c>
      <c r="I8" s="107">
        <f>Model!R28</f>
        <v>4212</v>
      </c>
      <c r="J8" s="108">
        <f>Model!S28</f>
        <v>4136</v>
      </c>
      <c r="K8" s="107">
        <f>Model!U28</f>
        <v>4152.631</v>
      </c>
      <c r="L8" s="107">
        <f>Model!V28</f>
        <v>4379.486</v>
      </c>
      <c r="M8" s="107">
        <f>Model!W28</f>
        <v>4358.186</v>
      </c>
      <c r="N8" s="109">
        <f>Model!X28</f>
        <v>4435.81544325</v>
      </c>
      <c r="O8" s="107">
        <f>Model!Z28</f>
        <v>4358.665169</v>
      </c>
      <c r="P8" s="107">
        <f>Model!AA28</f>
        <v>4593.347566</v>
      </c>
      <c r="Q8" s="107">
        <f>Model!AB28</f>
        <v>4573.971099999999</v>
      </c>
      <c r="R8" s="107">
        <f>Model!AC28</f>
        <v>4522.678832</v>
      </c>
      <c r="S8" s="8"/>
      <c r="T8" s="107">
        <f>Model!J28</f>
        <v>14964.500000000002</v>
      </c>
      <c r="U8" s="107">
        <f>Model!O28</f>
        <v>16031.900000000001</v>
      </c>
      <c r="V8" s="108">
        <f>Model!T28</f>
        <v>16592</v>
      </c>
      <c r="W8" s="107">
        <f>Model!Y28</f>
        <v>17326.11844325</v>
      </c>
      <c r="X8" s="107">
        <f>Model!AD28</f>
        <v>18048.662666999997</v>
      </c>
      <c r="Y8" s="107">
        <f>Model!AE28</f>
        <v>18921.749183770997</v>
      </c>
      <c r="Z8" s="107">
        <f>Model!AF28</f>
        <v>19882.732929281065</v>
      </c>
      <c r="AA8" s="107">
        <f>Model!AG28</f>
        <v>20839.078807590817</v>
      </c>
      <c r="AB8" s="8"/>
      <c r="AC8" s="110">
        <f>IFERROR((V8/T8)^(1/(V$4-T$4))-1,"N/A")</f>
        <v>0.05297549472700114</v>
      </c>
      <c r="AD8" s="75"/>
      <c r="AE8" s="110">
        <f>IFERROR((AA8/V8)^(1/(AA$4-V$4))-1,"N/A")</f>
        <v>0.04663669162390294</v>
      </c>
    </row>
    <row r="9" ht="13.5" customHeight="1" spans="1:31" x14ac:dyDescent="0.25">
      <c r="A9" s="9"/>
      <c r="B9" s="8"/>
      <c r="C9" s="111" t="s">
        <v>104</v>
      </c>
      <c r="D9" s="8"/>
      <c r="E9" s="8"/>
      <c r="F9" s="8"/>
      <c r="G9" s="8"/>
      <c r="H9" s="112"/>
      <c r="I9" s="112"/>
      <c r="J9" s="113"/>
      <c r="K9" s="112">
        <f t="shared" ref="K9:R9" si="0">K8/G8-1</f>
        <v>0.03582713893739098</v>
      </c>
      <c r="L9" s="112">
        <f t="shared" si="0"/>
        <v>0.03411711924439187</v>
      </c>
      <c r="M9" s="112">
        <f t="shared" si="0"/>
        <v>0.0347070275403607</v>
      </c>
      <c r="N9" s="114">
        <f t="shared" si="0"/>
        <v>0.0724892270913926</v>
      </c>
      <c r="O9" s="112">
        <f t="shared" si="0"/>
        <v>0.04961533278540742</v>
      </c>
      <c r="P9" s="112">
        <f t="shared" si="0"/>
        <v>0.04883257213289416</v>
      </c>
      <c r="Q9" s="112">
        <f t="shared" si="0"/>
        <v>0.049512595377985136</v>
      </c>
      <c r="R9" s="112">
        <f t="shared" si="0"/>
        <v>0.0195822819640028</v>
      </c>
      <c r="S9" s="8"/>
      <c r="T9" s="112"/>
      <c r="U9" s="112">
        <f t="shared" ref="U9:AA9" si="1">IF(ISERROR(U8/T8-1),"NA",(U8/T8-1))</f>
        <v>0.07132881152059878</v>
      </c>
      <c r="V9" s="113">
        <f t="shared" si="1"/>
        <v>0.03493659516339287</v>
      </c>
      <c r="W9" s="112">
        <f t="shared" si="1"/>
        <v>0.04424532565392969</v>
      </c>
      <c r="X9" s="112">
        <f t="shared" si="1"/>
        <v>0.041702602121566734</v>
      </c>
      <c r="Y9" s="112">
        <f t="shared" si="1"/>
        <v>0.0483740281969669</v>
      </c>
      <c r="Z9" s="112">
        <f t="shared" si="1"/>
        <v>0.050787257360661586</v>
      </c>
      <c r="AA9" s="112">
        <f t="shared" si="1"/>
        <v>0.048099317217169535</v>
      </c>
      <c r="AB9" s="8"/>
      <c r="AC9" s="110"/>
      <c r="AD9" s="75"/>
      <c r="AE9" s="110"/>
    </row>
    <row r="10" ht="13.5" customHeight="1"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ht="13.5" customHeight="1" spans="1:31" x14ac:dyDescent="0.25">
      <c r="A11" s="9"/>
      <c r="B11" s="8"/>
      <c r="C11" s="8" t="str">
        <f>Model!C30</f>
        <v>Gross Profit</v>
      </c>
      <c r="D11" s="8"/>
      <c r="E11" s="8"/>
      <c r="F11" s="8"/>
      <c r="G11" s="107">
        <f>Model!P30</f>
        <v>4009</v>
      </c>
      <c r="H11" s="107">
        <f>Model!Q30</f>
        <v>4235</v>
      </c>
      <c r="I11" s="107">
        <f>Model!R30</f>
        <v>4212</v>
      </c>
      <c r="J11" s="108">
        <f>Model!S30</f>
        <v>4136</v>
      </c>
      <c r="K11" s="107">
        <f>Model!U30</f>
        <v>4152.631</v>
      </c>
      <c r="L11" s="107">
        <f>Model!V30</f>
        <v>4379.486</v>
      </c>
      <c r="M11" s="107">
        <f>Model!W30</f>
        <v>4358.186</v>
      </c>
      <c r="N11" s="109">
        <f>Model!X30</f>
        <v>1880.7857479379995</v>
      </c>
      <c r="O11" s="107">
        <f>Model!Z30</f>
        <v>1865.5086923319996</v>
      </c>
      <c r="P11" s="107">
        <f>Model!AA30</f>
        <v>1952.1727155500002</v>
      </c>
      <c r="Q11" s="107">
        <f>Model!AB30</f>
        <v>1957.6596307999994</v>
      </c>
      <c r="R11" s="107">
        <f>Model!AC30</f>
        <v>1935.7065400959996</v>
      </c>
      <c r="S11" s="8"/>
      <c r="T11" s="107">
        <f>Model!J30</f>
        <v>14964.500000000002</v>
      </c>
      <c r="U11" s="107">
        <f>Model!O30</f>
        <v>16031.900000000001</v>
      </c>
      <c r="V11" s="108">
        <f>Model!T30</f>
        <v>16592</v>
      </c>
      <c r="W11" s="107">
        <f>Model!Y30</f>
        <v>14771.088747938</v>
      </c>
      <c r="X11" s="107">
        <f>Model!AD30</f>
        <v>7711.047578778</v>
      </c>
      <c r="Y11" s="107">
        <f>Model!AE30</f>
        <v>8155.2738982053</v>
      </c>
      <c r="Z11" s="107">
        <f>Model!AF30</f>
        <v>8509.809693732295</v>
      </c>
      <c r="AA11" s="107">
        <f>Model!AG30</f>
        <v>8919.125729648867</v>
      </c>
      <c r="AB11" s="8"/>
      <c r="AC11" s="110">
        <f>IFERROR((V11/T11)^(1/(V$4-T$4))-1,"N/A")</f>
        <v>0.05297549472700114</v>
      </c>
      <c r="AD11" s="75"/>
      <c r="AE11" s="110">
        <f>IFERROR((AA11/V11)^(1/(AA$4-V$4))-1,"N/A")</f>
        <v>-0.11674783751086426</v>
      </c>
    </row>
    <row r="12" ht="13.5" customHeight="1" spans="1:31" x14ac:dyDescent="0.25">
      <c r="A12" s="9"/>
      <c r="B12" s="8"/>
      <c r="C12" s="111" t="s">
        <v>105</v>
      </c>
      <c r="D12" s="8"/>
      <c r="E12" s="8"/>
      <c r="F12" s="8"/>
      <c r="G12" s="112">
        <f t="shared" ref="G12:R12" si="2">G11/G$8</f>
        <v>1</v>
      </c>
      <c r="H12" s="112">
        <f t="shared" si="2"/>
        <v>1</v>
      </c>
      <c r="I12" s="112">
        <f t="shared" si="2"/>
        <v>1</v>
      </c>
      <c r="J12" s="113">
        <f t="shared" si="2"/>
        <v>1</v>
      </c>
      <c r="K12" s="112">
        <f t="shared" si="2"/>
        <v>1</v>
      </c>
      <c r="L12" s="112">
        <f t="shared" si="2"/>
        <v>1</v>
      </c>
      <c r="M12" s="112">
        <f t="shared" si="2"/>
        <v>1</v>
      </c>
      <c r="N12" s="114">
        <f t="shared" si="2"/>
        <v>0.42399999999999993</v>
      </c>
      <c r="O12" s="112">
        <f t="shared" si="2"/>
        <v>0.42799999999999994</v>
      </c>
      <c r="P12" s="112">
        <f t="shared" si="2"/>
        <v>0.42500000000000004</v>
      </c>
      <c r="Q12" s="112">
        <f t="shared" si="2"/>
        <v>0.428</v>
      </c>
      <c r="R12" s="112">
        <f t="shared" si="2"/>
        <v>0.42799999999999994</v>
      </c>
      <c r="S12" s="8"/>
      <c r="T12" s="112">
        <f t="shared" ref="T12:AA12" si="3">T11/T$8</f>
        <v>1</v>
      </c>
      <c r="U12" s="112">
        <f t="shared" si="3"/>
        <v>1</v>
      </c>
      <c r="V12" s="113">
        <f t="shared" si="3"/>
        <v>1</v>
      </c>
      <c r="W12" s="112">
        <f t="shared" si="3"/>
        <v>0.8525330584758063</v>
      </c>
      <c r="X12" s="112">
        <f t="shared" si="3"/>
        <v>0.42723650616379494</v>
      </c>
      <c r="Y12" s="112">
        <f t="shared" si="3"/>
        <v>0.431</v>
      </c>
      <c r="Z12" s="112">
        <f t="shared" si="3"/>
        <v>0.428</v>
      </c>
      <c r="AA12" s="112">
        <f t="shared" si="3"/>
        <v>0.4279999999999999</v>
      </c>
      <c r="AB12" s="8"/>
      <c r="AC12" s="117"/>
      <c r="AD12" s="75"/>
      <c r="AE12" s="117"/>
    </row>
    <row r="13" ht="13.5" customHeight="1" spans="1:31" x14ac:dyDescent="0.25">
      <c r="A13" s="9"/>
      <c r="B13" s="8"/>
      <c r="C13" s="111" t="s">
        <v>104</v>
      </c>
      <c r="D13" s="8"/>
      <c r="E13" s="8"/>
      <c r="F13" s="8"/>
      <c r="G13" s="112"/>
      <c r="H13" s="112"/>
      <c r="I13" s="112"/>
      <c r="J13" s="113"/>
      <c r="K13" s="112">
        <f t="shared" ref="K13:R13" si="4">K11/G11-1</f>
        <v>0.03582713893739098</v>
      </c>
      <c r="L13" s="112">
        <f t="shared" si="4"/>
        <v>0.03411711924439187</v>
      </c>
      <c r="M13" s="112">
        <f t="shared" si="4"/>
        <v>0.0347070275403607</v>
      </c>
      <c r="N13" s="114">
        <f t="shared" si="4"/>
        <v>-0.5452645677132496</v>
      </c>
      <c r="O13" s="112">
        <f t="shared" si="4"/>
        <v>-0.5507646375678457</v>
      </c>
      <c r="P13" s="112">
        <f t="shared" si="4"/>
        <v>-0.55424615684352</v>
      </c>
      <c r="Q13" s="112">
        <f t="shared" si="4"/>
        <v>-0.5508086091782225</v>
      </c>
      <c r="R13" s="112">
        <f t="shared" si="4"/>
        <v>0.029200982737248138</v>
      </c>
      <c r="S13" s="8"/>
      <c r="T13" s="112"/>
      <c r="U13" s="112">
        <f t="shared" ref="U13:AA13" si="5">U11/T11-1</f>
        <v>0.07132881152059878</v>
      </c>
      <c r="V13" s="113">
        <f t="shared" si="5"/>
        <v>0.03493659516339287</v>
      </c>
      <c r="W13" s="112">
        <f t="shared" si="5"/>
        <v>-0.109746338721191</v>
      </c>
      <c r="X13" s="112">
        <f t="shared" si="5"/>
        <v>-0.4779634927144799</v>
      </c>
      <c r="Y13" s="112">
        <f t="shared" si="5"/>
        <v>0.05760907514692026</v>
      </c>
      <c r="Z13" s="112">
        <f t="shared" si="5"/>
        <v>0.04347319292427643</v>
      </c>
      <c r="AA13" s="112">
        <f t="shared" si="5"/>
        <v>0.04809931721716931</v>
      </c>
      <c r="AB13" s="8"/>
      <c r="AC13" s="117"/>
      <c r="AD13" s="75"/>
      <c r="AE13" s="117"/>
    </row>
    <row r="14" ht="13.5" customHeight="1"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ht="13.5" customHeight="1" spans="1:31" x14ac:dyDescent="0.25">
      <c r="A15" s="9"/>
      <c r="B15" s="8"/>
      <c r="C15" s="8" t="str">
        <f>Model!C36</f>
        <v>EBIT</v>
      </c>
      <c r="D15" s="8"/>
      <c r="E15" s="8"/>
      <c r="F15" s="8"/>
      <c r="G15" s="107">
        <f>Model!P36</f>
        <v>4009</v>
      </c>
      <c r="H15" s="107">
        <f>Model!Q36</f>
        <v>4235</v>
      </c>
      <c r="I15" s="107">
        <f>Model!R36</f>
        <v>4212</v>
      </c>
      <c r="J15" s="108">
        <f>Model!S36</f>
        <v>4136</v>
      </c>
      <c r="K15" s="107">
        <f>Model!U36</f>
        <v>4152.631</v>
      </c>
      <c r="L15" s="107">
        <f>Model!V36</f>
        <v>4379.486</v>
      </c>
      <c r="M15" s="107">
        <f>Model!W36</f>
        <v>4358.186</v>
      </c>
      <c r="N15" s="109">
        <f>Model!X36</f>
        <v>893.9576914541115</v>
      </c>
      <c r="O15" s="107">
        <f>Model!Z36</f>
        <v>887.6835145126602</v>
      </c>
      <c r="P15" s="107">
        <f>Model!AA36</f>
        <v>974.753996620093</v>
      </c>
      <c r="Q15" s="107">
        <f>Model!AB36</f>
        <v>981.5941838323864</v>
      </c>
      <c r="R15" s="107">
        <f>Model!AC36</f>
        <v>950.484156482478</v>
      </c>
      <c r="S15" s="8"/>
      <c r="T15" s="107">
        <f>Model!J36</f>
        <v>14964.500000000002</v>
      </c>
      <c r="U15" s="107">
        <f>Model!O36</f>
        <v>16031.900000000001</v>
      </c>
      <c r="V15" s="108">
        <f>Model!T36</f>
        <v>16592</v>
      </c>
      <c r="W15" s="107">
        <f>Model!Y36</f>
        <v>3829.260691454111</v>
      </c>
      <c r="X15" s="107">
        <f>Model!AD36</f>
        <v>3794.515851447618</v>
      </c>
      <c r="Y15" s="107">
        <f>Model!AE36</f>
        <v>4153.313493716915</v>
      </c>
      <c r="Z15" s="107">
        <f>Model!AF36</f>
        <v>4316.982078703026</v>
      </c>
      <c r="AA15" s="107">
        <f>Model!AG36</f>
        <v>4540.36069511936</v>
      </c>
      <c r="AB15" s="8"/>
      <c r="AC15" s="110">
        <f>IFERROR((V15/T15)^(1/(V$4-T$4))-1,"N/A")</f>
        <v>0.05297549472700114</v>
      </c>
      <c r="AD15" s="75"/>
      <c r="AE15" s="110">
        <f>IFERROR((AA15/V15)^(1/(AA$4-V$4))-1,"N/A")</f>
        <v>0.04390306537014599</v>
      </c>
    </row>
    <row r="16" ht="13.5" customHeight="1" spans="1:31" x14ac:dyDescent="0.25">
      <c r="A16" s="9"/>
      <c r="B16" s="8"/>
      <c r="C16" s="111" t="s">
        <v>106</v>
      </c>
      <c r="D16" s="8"/>
      <c r="E16" s="8"/>
      <c r="F16" s="8"/>
      <c r="G16" s="112">
        <f t="shared" ref="G16:R16" si="6">G15/G$8</f>
        <v>1</v>
      </c>
      <c r="H16" s="112">
        <f t="shared" si="6"/>
        <v>1</v>
      </c>
      <c r="I16" s="112">
        <f t="shared" si="6"/>
        <v>1</v>
      </c>
      <c r="J16" s="113">
        <f t="shared" si="6"/>
        <v>1</v>
      </c>
      <c r="K16" s="112">
        <f t="shared" si="6"/>
        <v>1</v>
      </c>
      <c r="L16" s="112">
        <f t="shared" si="6"/>
        <v>1</v>
      </c>
      <c r="M16" s="112">
        <f t="shared" si="6"/>
        <v>1</v>
      </c>
      <c r="N16" s="114">
        <f t="shared" si="6"/>
        <v>0.20153175958085698</v>
      </c>
      <c r="O16" s="112">
        <f t="shared" si="6"/>
        <v>0.2036594875022987</v>
      </c>
      <c r="P16" s="112">
        <f t="shared" si="6"/>
        <v>0.21220993678667618</v>
      </c>
      <c r="Q16" s="112">
        <f t="shared" si="6"/>
        <v>0.2146043694575129</v>
      </c>
      <c r="R16" s="112">
        <f t="shared" si="6"/>
        <v>0.21015955184731944</v>
      </c>
      <c r="S16" s="8"/>
      <c r="T16" s="112">
        <f t="shared" ref="T16:AA16" si="7">T15/T$8</f>
        <v>1</v>
      </c>
      <c r="U16" s="112">
        <f t="shared" si="7"/>
        <v>1</v>
      </c>
      <c r="V16" s="113">
        <f t="shared" si="7"/>
        <v>1</v>
      </c>
      <c r="W16" s="112">
        <f t="shared" si="7"/>
        <v>0.22101088042289901</v>
      </c>
      <c r="X16" s="112">
        <f t="shared" si="7"/>
        <v>0.21023806148172267</v>
      </c>
      <c r="Y16" s="112">
        <f t="shared" si="7"/>
        <v>0.2194994476133936</v>
      </c>
      <c r="Z16" s="112">
        <f t="shared" si="7"/>
        <v>0.2171221679664297</v>
      </c>
      <c r="AA16" s="112">
        <f t="shared" si="7"/>
        <v>0.2178772265818916</v>
      </c>
      <c r="AB16" s="8"/>
      <c r="AC16" s="117"/>
      <c r="AD16" s="75"/>
      <c r="AE16" s="117"/>
    </row>
    <row r="17" ht="13.5" customHeight="1" spans="1:31" x14ac:dyDescent="0.25">
      <c r="A17" s="9"/>
      <c r="B17" s="8"/>
      <c r="C17" s="111" t="s">
        <v>104</v>
      </c>
      <c r="D17" s="8"/>
      <c r="E17" s="8"/>
      <c r="F17" s="8"/>
      <c r="G17" s="8"/>
      <c r="H17" s="112"/>
      <c r="I17" s="112"/>
      <c r="J17" s="113"/>
      <c r="K17" s="112">
        <f t="shared" ref="K17:R17" si="8">K15/G15-1</f>
        <v>0.03582713893739098</v>
      </c>
      <c r="L17" s="112">
        <f t="shared" si="8"/>
        <v>0.03411711924439187</v>
      </c>
      <c r="M17" s="112">
        <f t="shared" si="8"/>
        <v>0.0347070275403607</v>
      </c>
      <c r="N17" s="114">
        <f t="shared" si="8"/>
        <v>0.11744711431763921</v>
      </c>
      <c r="O17" s="112">
        <f t="shared" si="8"/>
        <v>-0.0632603676825052</v>
      </c>
      <c r="P17" s="112">
        <f t="shared" si="8"/>
        <v>-0.030564327479355224</v>
      </c>
      <c r="Q17" s="112">
        <f t="shared" si="8"/>
        <v>-0.0006025499931919809</v>
      </c>
      <c r="R17" s="112">
        <f t="shared" si="8"/>
        <v>0.06323170052535776</v>
      </c>
      <c r="S17" s="8"/>
      <c r="T17" s="112"/>
      <c r="U17" s="112">
        <f t="shared" ref="U17:AA17" si="9">U15/T15-1</f>
        <v>0.07132881152059878</v>
      </c>
      <c r="V17" s="113">
        <f t="shared" si="9"/>
        <v>0.03493659516339287</v>
      </c>
      <c r="W17" s="112">
        <f t="shared" si="9"/>
        <v>0.045503383239805295</v>
      </c>
      <c r="X17" s="112">
        <f t="shared" si="9"/>
        <v>-0.009073511261334155</v>
      </c>
      <c r="Y17" s="112">
        <f t="shared" si="9"/>
        <v>0.09455689640416587</v>
      </c>
      <c r="Z17" s="112">
        <f t="shared" si="9"/>
        <v>0.039406749631037075</v>
      </c>
      <c r="AA17" s="112">
        <f t="shared" si="9"/>
        <v>0.051744161162569524</v>
      </c>
      <c r="AB17" s="8"/>
      <c r="AC17" s="117"/>
      <c r="AD17" s="75"/>
      <c r="AE17" s="117"/>
    </row>
    <row r="18" ht="13.5" customHeight="1"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ht="13.5" customHeight="1" spans="1:31" x14ac:dyDescent="0.25">
      <c r="A19" s="9"/>
      <c r="B19" s="8"/>
      <c r="C19" s="8" t="str">
        <f>Model!C45</f>
        <v>Net Income (Loss)</v>
      </c>
      <c r="D19" s="8"/>
      <c r="E19" s="8"/>
      <c r="F19" s="8"/>
      <c r="G19" s="107">
        <f>Model!P45</f>
        <v>4009</v>
      </c>
      <c r="H19" s="107">
        <f>Model!Q45</f>
        <v>4235</v>
      </c>
      <c r="I19" s="107">
        <f>Model!R45</f>
        <v>4212</v>
      </c>
      <c r="J19" s="108">
        <f>Model!S45</f>
        <v>4136</v>
      </c>
      <c r="K19" s="107">
        <f>Model!U45</f>
        <v>4152.631</v>
      </c>
      <c r="L19" s="107">
        <f>Model!V45</f>
        <v>4379.486</v>
      </c>
      <c r="M19" s="107">
        <f>Model!W45</f>
        <v>4358.186</v>
      </c>
      <c r="N19" s="109">
        <f>Model!X45</f>
        <v>566.8519263406029</v>
      </c>
      <c r="O19" s="107">
        <f>Model!Z45</f>
        <v>568.1117253323134</v>
      </c>
      <c r="P19" s="107">
        <f>Model!AA45</f>
        <v>637.5927105870192</v>
      </c>
      <c r="Q19" s="107">
        <f>Model!AB45</f>
        <v>647.9805492786331</v>
      </c>
      <c r="R19" s="107">
        <f>Model!AC45</f>
        <v>628.4469917691944</v>
      </c>
      <c r="S19" s="8"/>
      <c r="T19" s="107">
        <f>Model!J45</f>
        <v>14964.500000000002</v>
      </c>
      <c r="U19" s="107">
        <f>Model!O45</f>
        <v>16031.900000000001</v>
      </c>
      <c r="V19" s="108">
        <f>Model!T45</f>
        <v>16592</v>
      </c>
      <c r="W19" s="107">
        <f>Model!Y45</f>
        <v>2596.1549263406027</v>
      </c>
      <c r="X19" s="107">
        <f>Model!AD45</f>
        <v>2482.13197696716</v>
      </c>
      <c r="Y19" s="107">
        <f>Model!AE45</f>
        <v>2803.4172936509563</v>
      </c>
      <c r="Z19" s="107">
        <f>Model!AF45</f>
        <v>2919.298888274219</v>
      </c>
      <c r="AA19" s="107">
        <f>Model!AG45</f>
        <v>3107.5490560437593</v>
      </c>
      <c r="AB19" s="8"/>
      <c r="AC19" s="110">
        <f>IFERROR((V19/T19)^(1/(V$4-T$4))-1,"N/A")</f>
        <v>0.05297549472700114</v>
      </c>
      <c r="AD19" s="75"/>
      <c r="AE19" s="110">
        <f>IFERROR((AA19/V19)^(1/(AA$4-V$4))-1,"N/A")</f>
        <v>0.04061828248033561</v>
      </c>
    </row>
    <row r="20" ht="13.5" customHeight="1" spans="1:31" x14ac:dyDescent="0.25">
      <c r="A20" s="9"/>
      <c r="B20" s="8"/>
      <c r="C20" s="111" t="s">
        <v>106</v>
      </c>
      <c r="D20" s="8"/>
      <c r="E20" s="8"/>
      <c r="F20" s="8"/>
      <c r="G20" s="112">
        <f t="shared" ref="G20:R20" si="10">G19/G$8</f>
        <v>1</v>
      </c>
      <c r="H20" s="112">
        <f t="shared" si="10"/>
        <v>1</v>
      </c>
      <c r="I20" s="112">
        <f t="shared" si="10"/>
        <v>1</v>
      </c>
      <c r="J20" s="113">
        <f t="shared" si="10"/>
        <v>1</v>
      </c>
      <c r="K20" s="112">
        <f t="shared" si="10"/>
        <v>1</v>
      </c>
      <c r="L20" s="112">
        <f t="shared" si="10"/>
        <v>1</v>
      </c>
      <c r="M20" s="112">
        <f t="shared" si="10"/>
        <v>1</v>
      </c>
      <c r="N20" s="114">
        <f t="shared" si="10"/>
        <v>0.12778979053404577</v>
      </c>
      <c r="O20" s="112">
        <f t="shared" si="10"/>
        <v>0.13034075876552229</v>
      </c>
      <c r="P20" s="112">
        <f t="shared" si="10"/>
        <v>0.13880785231809717</v>
      </c>
      <c r="Q20" s="112">
        <f t="shared" si="10"/>
        <v>0.14166695309435456</v>
      </c>
      <c r="R20" s="112">
        <f t="shared" si="10"/>
        <v>0.13895459198266466</v>
      </c>
      <c r="S20" s="8"/>
      <c r="T20" s="112">
        <f t="shared" ref="T20:AA20" si="11">T19/T$8</f>
        <v>1</v>
      </c>
      <c r="U20" s="112">
        <f t="shared" si="11"/>
        <v>1</v>
      </c>
      <c r="V20" s="113">
        <f t="shared" si="11"/>
        <v>1</v>
      </c>
      <c r="W20" s="112">
        <f t="shared" si="11"/>
        <v>0.14984053900151112</v>
      </c>
      <c r="X20" s="112">
        <f t="shared" si="11"/>
        <v>0.1375244262005886</v>
      </c>
      <c r="Y20" s="112">
        <f t="shared" si="11"/>
        <v>0.14815846391492285</v>
      </c>
      <c r="Z20" s="112">
        <f t="shared" si="11"/>
        <v>0.14682583619955997</v>
      </c>
      <c r="AA20" s="112">
        <f t="shared" si="11"/>
        <v>0.14912122962516977</v>
      </c>
      <c r="AB20" s="8"/>
      <c r="AC20" s="117"/>
      <c r="AD20" s="75"/>
      <c r="AE20" s="117"/>
    </row>
    <row r="21" ht="13.5" customHeight="1" spans="1:31" x14ac:dyDescent="0.25">
      <c r="A21" s="9"/>
      <c r="B21" s="8"/>
      <c r="C21" s="111" t="s">
        <v>104</v>
      </c>
      <c r="D21" s="8"/>
      <c r="E21" s="8"/>
      <c r="F21" s="8"/>
      <c r="G21" s="8"/>
      <c r="H21" s="112"/>
      <c r="I21" s="112"/>
      <c r="J21" s="113"/>
      <c r="K21" s="112">
        <f t="shared" ref="K21:R21" si="12">K19/G19-1</f>
        <v>0.03582713893739098</v>
      </c>
      <c r="L21" s="112">
        <f t="shared" si="12"/>
        <v>0.03411711924439187</v>
      </c>
      <c r="M21" s="112">
        <f t="shared" si="12"/>
        <v>0.0347070275403607</v>
      </c>
      <c r="N21" s="114">
        <f t="shared" si="12"/>
        <v>0.04009527768917964</v>
      </c>
      <c r="O21" s="112">
        <f t="shared" si="12"/>
        <v>-0.11042256744142842</v>
      </c>
      <c r="P21" s="112">
        <f t="shared" si="12"/>
        <v>-0.08192143457604717</v>
      </c>
      <c r="Q21" s="112">
        <f t="shared" si="12"/>
        <v>-0.06924220067821896</v>
      </c>
      <c r="R21" s="112">
        <f t="shared" si="12"/>
        <v>0.10866164965906999</v>
      </c>
      <c r="S21" s="8"/>
      <c r="T21" s="112"/>
      <c r="U21" s="112">
        <f t="shared" ref="U21:AA21" si="13">U19/T19-1</f>
        <v>0.07132881152059878</v>
      </c>
      <c r="V21" s="113">
        <f t="shared" si="13"/>
        <v>0.03493659516339287</v>
      </c>
      <c r="W21" s="112">
        <f t="shared" si="13"/>
        <v>0.01945925011411398</v>
      </c>
      <c r="X21" s="112">
        <f t="shared" si="13"/>
        <v>-0.0439199325959192</v>
      </c>
      <c r="Y21" s="112">
        <f t="shared" si="13"/>
        <v>0.12943925611738205</v>
      </c>
      <c r="Z21" s="112">
        <f t="shared" si="13"/>
        <v>0.041335834977441754</v>
      </c>
      <c r="AA21" s="112">
        <f t="shared" si="13"/>
        <v>0.0644847187541071</v>
      </c>
      <c r="AB21" s="8"/>
      <c r="AC21" s="110"/>
      <c r="AD21" s="75"/>
      <c r="AE21" s="110"/>
    </row>
    <row r="22" ht="13.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3.5" customHeight="1" spans="1:31" x14ac:dyDescent="0.25">
      <c r="A23" s="9"/>
      <c r="B23" s="8"/>
      <c r="C23" s="8" t="str">
        <f>Model!C57</f>
        <v>Adj. EPS (Diluted)</v>
      </c>
      <c r="D23" s="8"/>
      <c r="E23" s="8"/>
      <c r="F23" s="8"/>
      <c r="G23" s="118" t="e">
        <f>Model!P57</f>
        <v>#DIV/0!</v>
      </c>
      <c r="H23" s="118" t="e">
        <f>Model!Q57</f>
        <v>#DIV/0!</v>
      </c>
      <c r="I23" s="118" t="e">
        <f>Model!R57</f>
        <v>#DIV/0!</v>
      </c>
      <c r="J23" s="119" t="e">
        <f>Model!S57</f>
        <v>#DIV/0!</v>
      </c>
      <c r="K23" s="118" t="e">
        <f>Model!U57</f>
        <v>#DIV/0!</v>
      </c>
      <c r="L23" s="118" t="e">
        <f>Model!V57</f>
        <v>#DIV/0!</v>
      </c>
      <c r="M23" s="118" t="e">
        <f>Model!W57</f>
        <v>#DIV/0!</v>
      </c>
      <c r="N23" s="120">
        <f>Model!X57</f>
        <v>1.8150878204950458</v>
      </c>
      <c r="O23" s="118">
        <f>Model!Z57</f>
        <v>1.8278218308793484</v>
      </c>
      <c r="P23" s="118">
        <f>Model!AA57</f>
        <v>2.0612253533581804</v>
      </c>
      <c r="Q23" s="118">
        <f>Model!AB57</f>
        <v>2.0948074130684247</v>
      </c>
      <c r="R23" s="118">
        <f>Model!AC57</f>
        <v>2.03165884924205</v>
      </c>
      <c r="S23" s="118"/>
      <c r="T23" s="118" t="e">
        <f>Model!J57</f>
        <v>#DIV/0!</v>
      </c>
      <c r="U23" s="118" t="e">
        <f>Model!O57</f>
        <v>#DIV/0!</v>
      </c>
      <c r="V23" s="119" t="e">
        <f>Model!T57</f>
        <v>#DIV/0!</v>
      </c>
      <c r="W23" s="118">
        <f>Model!Y57</f>
        <v>8.301054920353646</v>
      </c>
      <c r="X23" s="118">
        <f>Model!AD57</f>
        <v>8.014668413303683</v>
      </c>
      <c r="Y23" s="118">
        <f>Model!AE57</f>
        <v>9.103086206487252</v>
      </c>
      <c r="Z23" s="118">
        <f>Model!AF57</f>
        <v>9.567629606410177</v>
      </c>
      <c r="AA23" s="118">
        <f>Model!AG57</f>
        <v>10.283124027331134</v>
      </c>
      <c r="AB23" s="8"/>
      <c r="AC23" s="110" t="str">
        <f>IFERROR((V23/T23)^(1/(V$4-T$4))-1,"N/A")</f>
        <v>N/A</v>
      </c>
      <c r="AD23" s="75"/>
      <c r="AE23" s="110">
        <f>IFERROR((AA23/V23)^(1/(AA$4-V$4))-1,"N/A")</f>
        <v>0.04917991950321987</v>
      </c>
    </row>
    <row r="24" ht="13.5" customHeight="1" spans="1:31" x14ac:dyDescent="0.25">
      <c r="A24" s="9"/>
      <c r="B24" s="8"/>
      <c r="C24" s="111" t="s">
        <v>104</v>
      </c>
      <c r="D24" s="8"/>
      <c r="E24" s="8"/>
      <c r="F24" s="8"/>
      <c r="G24" s="8"/>
      <c r="H24" s="112"/>
      <c r="I24" s="112"/>
      <c r="J24" s="113"/>
      <c r="K24" s="112" t="e">
        <f t="shared" ref="K24:R24" si="14">K23/G23-1</f>
        <v>#DIV/0!</v>
      </c>
      <c r="L24" s="112" t="e">
        <f t="shared" si="14"/>
        <v>#DIV/0!</v>
      </c>
      <c r="M24" s="112" t="e">
        <f t="shared" si="14"/>
        <v>#DIV/0!</v>
      </c>
      <c r="N24" s="114">
        <f t="shared" si="14"/>
        <v>0.04509093224100069</v>
      </c>
      <c r="O24" s="112">
        <f t="shared" si="14"/>
        <v>-0.10330600986406924</v>
      </c>
      <c r="P24" s="112">
        <f t="shared" si="14"/>
        <v>-0.06983290412988341</v>
      </c>
      <c r="Q24" s="112">
        <f t="shared" si="14"/>
        <v>-0.06119928743561531</v>
      </c>
      <c r="R24" s="112">
        <f t="shared" si="14"/>
        <v>0.11931710758101888</v>
      </c>
      <c r="S24" s="8"/>
      <c r="T24" s="112"/>
      <c r="U24" s="112" t="str">
        <f t="shared" ref="U24:AA24" si="15">IF(ISERROR(U23/T23-1),"NA",(U23/T23-1))</f>
        <v>NA</v>
      </c>
      <c r="V24" s="113" t="str">
        <f t="shared" si="15"/>
        <v>NA</v>
      </c>
      <c r="W24" s="112">
        <f t="shared" si="15"/>
        <v>0.026261561821734558</v>
      </c>
      <c r="X24" s="112">
        <f t="shared" si="15"/>
        <v>-0.03450001352813148</v>
      </c>
      <c r="Y24" s="112">
        <f t="shared" si="15"/>
        <v>0.13580322192455085</v>
      </c>
      <c r="Z24" s="112">
        <f t="shared" si="15"/>
        <v>0.05103141828887359</v>
      </c>
      <c r="AA24" s="112">
        <f t="shared" si="15"/>
        <v>0.07478283026775889</v>
      </c>
      <c r="AB24" s="8"/>
      <c r="AC24" s="117"/>
      <c r="AD24" s="75"/>
      <c r="AE24" s="117"/>
    </row>
    <row r="25" ht="13.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3.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3.5" customHeight="1" spans="1:31" x14ac:dyDescent="0.25">
      <c r="A27" s="9"/>
      <c r="B27" s="8"/>
      <c r="C27" s="8" t="str">
        <f>Model!C61</f>
        <v>EBITDA</v>
      </c>
      <c r="D27" s="8"/>
      <c r="E27" s="8"/>
      <c r="F27" s="8"/>
      <c r="G27" s="107">
        <f>Model!P61</f>
        <v>4009</v>
      </c>
      <c r="H27" s="107">
        <f>Model!Q61</f>
        <v>4235</v>
      </c>
      <c r="I27" s="107">
        <f>Model!R61</f>
        <v>4212</v>
      </c>
      <c r="J27" s="108">
        <f>Model!S61</f>
        <v>4136</v>
      </c>
      <c r="K27" s="107">
        <f>Model!U61</f>
        <v>4152.631</v>
      </c>
      <c r="L27" s="107">
        <f>Model!V61</f>
        <v>4379.486</v>
      </c>
      <c r="M27" s="107">
        <f>Model!W61</f>
        <v>4358.186</v>
      </c>
      <c r="N27" s="109">
        <f>Model!X61</f>
        <v>1388.4102337372497</v>
      </c>
      <c r="O27" s="107">
        <f>Model!Z61</f>
        <v>1372.9795282349994</v>
      </c>
      <c r="P27" s="107">
        <f>Model!AA61</f>
        <v>1460.6845259880001</v>
      </c>
      <c r="Q27" s="107">
        <f>Model!AB61</f>
        <v>1468.2447230999996</v>
      </c>
      <c r="R27" s="107">
        <f>Model!AC61</f>
        <v>1438.2118685759997</v>
      </c>
      <c r="S27" s="8"/>
      <c r="T27" s="107">
        <f>Model!J61</f>
        <v>14964.500000000002</v>
      </c>
      <c r="U27" s="107">
        <f>Model!O61</f>
        <v>16031.900000000001</v>
      </c>
      <c r="V27" s="108">
        <f>Model!T61</f>
        <v>16592</v>
      </c>
      <c r="W27" s="107">
        <f>Model!Y61</f>
        <v>5679.7132337372495</v>
      </c>
      <c r="X27" s="107">
        <f>Model!AD61</f>
        <v>5740.120645898999</v>
      </c>
      <c r="Y27" s="107">
        <f>Model!AE61</f>
        <v>6130.646735541803</v>
      </c>
      <c r="Z27" s="107">
        <f>Model!AF61</f>
        <v>6402.240003228502</v>
      </c>
      <c r="AA27" s="107">
        <f>Model!AG61</f>
        <v>6731.022454851831</v>
      </c>
      <c r="AB27" s="8"/>
      <c r="AC27" s="110">
        <f>IFERROR((V27/T27)^(1/(V$4-T$4))-1,"N/A")</f>
        <v>0.05297549472700114</v>
      </c>
      <c r="AD27" s="75"/>
      <c r="AE27" s="110">
        <f>IFERROR((AA27/V27)^(1/(AA$4-V$4))-1,"N/A")</f>
        <v>0.04680926291440324</v>
      </c>
    </row>
    <row r="28" ht="13.5" customHeight="1" spans="1:31" x14ac:dyDescent="0.25">
      <c r="A28" s="9"/>
      <c r="B28" s="8"/>
      <c r="C28" s="111" t="s">
        <v>106</v>
      </c>
      <c r="D28" s="8"/>
      <c r="E28" s="8"/>
      <c r="F28" s="8"/>
      <c r="G28" s="112">
        <f t="shared" ref="G28:R28" si="16">G27/G$8</f>
        <v>1</v>
      </c>
      <c r="H28" s="112">
        <f t="shared" si="16"/>
        <v>1</v>
      </c>
      <c r="I28" s="112">
        <f t="shared" si="16"/>
        <v>1</v>
      </c>
      <c r="J28" s="113">
        <f t="shared" si="16"/>
        <v>1</v>
      </c>
      <c r="K28" s="112">
        <f t="shared" si="16"/>
        <v>1</v>
      </c>
      <c r="L28" s="112">
        <f t="shared" si="16"/>
        <v>1</v>
      </c>
      <c r="M28" s="112">
        <f t="shared" si="16"/>
        <v>1</v>
      </c>
      <c r="N28" s="114">
        <f t="shared" si="16"/>
        <v>0.31299999999999994</v>
      </c>
      <c r="O28" s="112">
        <f t="shared" si="16"/>
        <v>0.3149999999999999</v>
      </c>
      <c r="P28" s="112">
        <f t="shared" si="16"/>
        <v>0.318</v>
      </c>
      <c r="Q28" s="112">
        <f t="shared" si="16"/>
        <v>0.321</v>
      </c>
      <c r="R28" s="112">
        <f t="shared" si="16"/>
        <v>0.31799999999999995</v>
      </c>
      <c r="S28" s="8"/>
      <c r="T28" s="112">
        <f t="shared" ref="T28:AA28" si="17">T27/T$8</f>
        <v>1</v>
      </c>
      <c r="U28" s="112">
        <f t="shared" si="17"/>
        <v>1</v>
      </c>
      <c r="V28" s="113">
        <f t="shared" si="17"/>
        <v>1</v>
      </c>
      <c r="W28" s="112">
        <f t="shared" si="17"/>
        <v>0.3278122132398317</v>
      </c>
      <c r="X28" s="112">
        <f t="shared" si="17"/>
        <v>0.31803578757079776</v>
      </c>
      <c r="Y28" s="112">
        <f t="shared" si="17"/>
        <v>0.324</v>
      </c>
      <c r="Z28" s="112">
        <f t="shared" si="17"/>
        <v>0.32199999999999995</v>
      </c>
      <c r="AA28" s="112">
        <f t="shared" si="17"/>
        <v>0.32299999999999984</v>
      </c>
      <c r="AB28" s="8"/>
      <c r="AC28" s="117"/>
      <c r="AD28" s="75"/>
      <c r="AE28" s="117"/>
    </row>
    <row r="29" ht="13.5" customHeight="1" spans="1:31" x14ac:dyDescent="0.25">
      <c r="A29" s="9"/>
      <c r="B29" s="8"/>
      <c r="C29" s="111" t="s">
        <v>104</v>
      </c>
      <c r="D29" s="8"/>
      <c r="E29" s="8"/>
      <c r="F29" s="8"/>
      <c r="G29" s="8"/>
      <c r="H29" s="112"/>
      <c r="I29" s="112"/>
      <c r="J29" s="113"/>
      <c r="K29" s="112">
        <f t="shared" ref="K29:R29" si="18">K27/G27-1</f>
        <v>0.03582713893739098</v>
      </c>
      <c r="L29" s="112">
        <f t="shared" si="18"/>
        <v>0.03411711924439187</v>
      </c>
      <c r="M29" s="112">
        <f t="shared" si="18"/>
        <v>0.0347070275403607</v>
      </c>
      <c r="N29" s="114">
        <f t="shared" si="18"/>
        <v>0.10366473270051646</v>
      </c>
      <c r="O29" s="112">
        <f t="shared" si="18"/>
        <v>-0.006261781738395311</v>
      </c>
      <c r="P29" s="112">
        <f t="shared" si="18"/>
        <v>-0.0053125967915252925</v>
      </c>
      <c r="Q29" s="112">
        <f t="shared" si="18"/>
        <v>0.018775316371377526</v>
      </c>
      <c r="R29" s="112">
        <f t="shared" si="18"/>
        <v>0.035869538864386374</v>
      </c>
      <c r="S29" s="8"/>
      <c r="T29" s="112"/>
      <c r="U29" s="112">
        <f t="shared" ref="U29:AA29" si="19">U27/T27-1</f>
        <v>0.07132881152059878</v>
      </c>
      <c r="V29" s="113">
        <f t="shared" si="19"/>
        <v>0.03493659516339287</v>
      </c>
      <c r="W29" s="112">
        <f t="shared" si="19"/>
        <v>0.06067700637507456</v>
      </c>
      <c r="X29" s="112">
        <f t="shared" si="19"/>
        <v>0.010635644736944228</v>
      </c>
      <c r="Y29" s="112">
        <f t="shared" si="19"/>
        <v>0.06803447413980979</v>
      </c>
      <c r="Z29" s="112">
        <f t="shared" si="19"/>
        <v>0.04430091626584276</v>
      </c>
      <c r="AA29" s="112">
        <f t="shared" si="19"/>
        <v>0.05135428404082498</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3.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3.5" customHeight="1" spans="1:31" x14ac:dyDescent="0.25">
      <c r="A32" s="9" t="s">
        <v>3</v>
      </c>
      <c r="B32" s="8"/>
      <c r="C32" s="101" t="str">
        <f>"Consolidated "&amp;Model!C121</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3.5" customHeight="1" spans="1:31" x14ac:dyDescent="0.25">
      <c r="A34" s="9"/>
      <c r="B34" s="8"/>
      <c r="C34" s="8" t="str">
        <f>Model!C123</f>
        <v>Cash &amp; Cash Equivalents</v>
      </c>
      <c r="D34" s="8"/>
      <c r="E34" s="8"/>
      <c r="F34" s="8"/>
      <c r="G34" s="107">
        <f>Model!P123</f>
        <v>0</v>
      </c>
      <c r="H34" s="107">
        <f>Model!Q123</f>
        <v>0</v>
      </c>
      <c r="I34" s="107">
        <f>Model!R123</f>
        <v>0</v>
      </c>
      <c r="J34" s="108">
        <f>Model!S123</f>
        <v>0</v>
      </c>
      <c r="K34" s="107">
        <f>Model!U123</f>
        <v>0</v>
      </c>
      <c r="L34" s="107">
        <f>Model!V123</f>
        <v>0</v>
      </c>
      <c r="M34" s="107">
        <f>Model!W123</f>
        <v>0</v>
      </c>
      <c r="N34" s="109">
        <f>Model!X123</f>
        <v>58.332247659647805</v>
      </c>
      <c r="O34" s="107">
        <f>Model!Z123</f>
        <v>57.31769938501009</v>
      </c>
      <c r="P34" s="107">
        <f>Model!AA123</f>
        <v>60.40384033886687</v>
      </c>
      <c r="Q34" s="107">
        <f>Model!AB123</f>
        <v>60.149034243360575</v>
      </c>
      <c r="R34" s="107">
        <f>Model!AC123</f>
        <v>59.47452618091313</v>
      </c>
      <c r="S34" s="8"/>
      <c r="T34" s="107">
        <f>Model!J123</f>
        <v>0</v>
      </c>
      <c r="U34" s="107">
        <f>Model!O123</f>
        <v>0</v>
      </c>
      <c r="V34" s="108">
        <f>Model!T123</f>
        <v>0</v>
      </c>
      <c r="W34" s="107">
        <f>Model!Y123</f>
        <v>58.332247659647805</v>
      </c>
      <c r="X34" s="107">
        <f>Model!AD123</f>
        <v>59.47452618091313</v>
      </c>
      <c r="Y34" s="107">
        <f>Model!AE123</f>
        <v>248.82643871512903</v>
      </c>
      <c r="Z34" s="107">
        <f>Model!AF123</f>
        <v>261.4636510962911</v>
      </c>
      <c r="AA34" s="107">
        <f>Model!AG123</f>
        <v>274.03987419113093</v>
      </c>
      <c r="AB34" s="8"/>
      <c r="AC34" s="8"/>
      <c r="AD34" s="8"/>
      <c r="AE34" s="8"/>
    </row>
    <row r="35" ht="13.5" customHeight="1" spans="1:31" x14ac:dyDescent="0.25">
      <c r="A35" s="9"/>
      <c r="B35" s="8"/>
      <c r="C35" s="8" t="str">
        <f>Model!C124</f>
        <v>Accounts Receivable</v>
      </c>
      <c r="D35" s="8"/>
      <c r="E35" s="8"/>
      <c r="F35" s="8"/>
      <c r="G35" s="127">
        <f>Model!P124</f>
        <v>0</v>
      </c>
      <c r="H35" s="127">
        <f>Model!Q124</f>
        <v>0</v>
      </c>
      <c r="I35" s="127">
        <f>Model!R124</f>
        <v>0</v>
      </c>
      <c r="J35" s="128">
        <f>Model!S124</f>
        <v>0</v>
      </c>
      <c r="K35" s="127">
        <f>Model!U124</f>
        <v>0</v>
      </c>
      <c r="L35" s="127">
        <f>Model!V124</f>
        <v>0</v>
      </c>
      <c r="M35" s="127">
        <f>Model!W124</f>
        <v>0</v>
      </c>
      <c r="N35" s="129">
        <f>Model!X124</f>
        <v>2015.4031035635867</v>
      </c>
      <c r="O35" s="127">
        <f>Model!Z124</f>
        <v>1973.3736809098903</v>
      </c>
      <c r="P35" s="127">
        <f>Model!AA124</f>
        <v>2029.1491445406596</v>
      </c>
      <c r="Q35" s="127">
        <f>Model!AB124</f>
        <v>2028.4567486956514</v>
      </c>
      <c r="R35" s="127">
        <f>Model!AC124</f>
        <v>2030.2895191478256</v>
      </c>
      <c r="S35" s="8"/>
      <c r="T35" s="127">
        <f>Model!J124</f>
        <v>0</v>
      </c>
      <c r="U35" s="127">
        <f>Model!O124</f>
        <v>0</v>
      </c>
      <c r="V35" s="128">
        <f>Model!T124</f>
        <v>0</v>
      </c>
      <c r="W35" s="127">
        <f>Model!Y124</f>
        <v>2015.4031035635867</v>
      </c>
      <c r="X35" s="127">
        <f>Model!AD124</f>
        <v>2030.2895191478256</v>
      </c>
      <c r="Y35" s="127">
        <f>Model!AE124</f>
        <v>2156.561002862667</v>
      </c>
      <c r="Z35" s="127">
        <f>Model!AF124</f>
        <v>2233.402876987736</v>
      </c>
      <c r="AA35" s="127">
        <f>Model!AG124</f>
        <v>2340.828030441708</v>
      </c>
      <c r="AB35" s="8"/>
      <c r="AC35" s="8"/>
      <c r="AD35" s="8"/>
      <c r="AE35" s="8"/>
    </row>
    <row r="36" ht="13.5" customHeight="1" spans="1:31" x14ac:dyDescent="0.25">
      <c r="A36" s="9"/>
      <c r="B36" s="8"/>
      <c r="C36" s="8" t="str">
        <f>Model!C125</f>
        <v>Inventory</v>
      </c>
      <c r="D36" s="8"/>
      <c r="E36" s="8"/>
      <c r="F36" s="8"/>
      <c r="G36" s="127">
        <f>Model!P125</f>
        <v>0</v>
      </c>
      <c r="H36" s="127">
        <f>Model!Q125</f>
        <v>0</v>
      </c>
      <c r="I36" s="127">
        <f>Model!R125</f>
        <v>0</v>
      </c>
      <c r="J36" s="128">
        <f>Model!S125</f>
        <v>0</v>
      </c>
      <c r="K36" s="127">
        <f>Model!U125</f>
        <v>0</v>
      </c>
      <c r="L36" s="127">
        <f>Model!V125</f>
        <v>0</v>
      </c>
      <c r="M36" s="127">
        <f>Model!W125</f>
        <v>0</v>
      </c>
      <c r="N36" s="129">
        <f>Model!X125</f>
        <v>0</v>
      </c>
      <c r="O36" s="127">
        <f>Model!Z125</f>
        <v>0</v>
      </c>
      <c r="P36" s="127">
        <f>Model!AA125</f>
        <v>0</v>
      </c>
      <c r="Q36" s="127">
        <f>Model!AB125</f>
        <v>0</v>
      </c>
      <c r="R36" s="127">
        <f>Model!AC125</f>
        <v>0</v>
      </c>
      <c r="S36" s="8"/>
      <c r="T36" s="127">
        <f>Model!J125</f>
        <v>0</v>
      </c>
      <c r="U36" s="127">
        <f>Model!O125</f>
        <v>0</v>
      </c>
      <c r="V36" s="128">
        <f>Model!T125</f>
        <v>0</v>
      </c>
      <c r="W36" s="127">
        <f>Model!Y125</f>
        <v>0</v>
      </c>
      <c r="X36" s="127">
        <f>Model!AD125</f>
        <v>0</v>
      </c>
      <c r="Y36" s="127">
        <f>Model!AE125</f>
        <v>0</v>
      </c>
      <c r="Z36" s="127">
        <f>Model!AF125</f>
        <v>0</v>
      </c>
      <c r="AA36" s="127">
        <f>Model!AG125</f>
        <v>0</v>
      </c>
      <c r="AB36" s="8"/>
      <c r="AC36" s="8"/>
      <c r="AD36" s="8"/>
      <c r="AE36" s="8"/>
    </row>
    <row r="37" ht="13.5" customHeight="1" spans="1:31" x14ac:dyDescent="0.25">
      <c r="A37" s="9"/>
      <c r="B37" s="8"/>
      <c r="C37" s="8" t="str">
        <f>Model!C126</f>
        <v>Prepaid &amp; Other Current Assets</v>
      </c>
      <c r="D37" s="8"/>
      <c r="E37" s="8"/>
      <c r="F37" s="8"/>
      <c r="G37" s="127">
        <f>Model!P126</f>
        <v>0</v>
      </c>
      <c r="H37" s="127">
        <f>Model!Q126</f>
        <v>0</v>
      </c>
      <c r="I37" s="127">
        <f>Model!R126</f>
        <v>0</v>
      </c>
      <c r="J37" s="128">
        <f>Model!S126</f>
        <v>0</v>
      </c>
      <c r="K37" s="127">
        <f>Model!U126</f>
        <v>0</v>
      </c>
      <c r="L37" s="127">
        <f>Model!V126</f>
        <v>0</v>
      </c>
      <c r="M37" s="127">
        <f>Model!W126</f>
        <v>0</v>
      </c>
      <c r="N37" s="129">
        <f>Model!X126</f>
        <v>461.32480609799995</v>
      </c>
      <c r="O37" s="127">
        <f>Model!Z126</f>
        <v>383.56253487199996</v>
      </c>
      <c r="P37" s="127">
        <f>Model!AA126</f>
        <v>404.214585808</v>
      </c>
      <c r="Q37" s="127">
        <f>Model!AB126</f>
        <v>402.5094567999999</v>
      </c>
      <c r="R37" s="127">
        <f>Model!AC126</f>
        <v>397.99573721599995</v>
      </c>
      <c r="S37" s="8"/>
      <c r="T37" s="127">
        <f>Model!J126</f>
        <v>0</v>
      </c>
      <c r="U37" s="127">
        <f>Model!O126</f>
        <v>0</v>
      </c>
      <c r="V37" s="128">
        <f>Model!T126</f>
        <v>0</v>
      </c>
      <c r="W37" s="127">
        <f>Model!Y126</f>
        <v>461.32480609799995</v>
      </c>
      <c r="X37" s="127">
        <f>Model!AD126</f>
        <v>397.99573721599995</v>
      </c>
      <c r="Y37" s="127">
        <f>Model!AE126</f>
        <v>416.2784820429619</v>
      </c>
      <c r="Z37" s="127">
        <f>Model!AF126</f>
        <v>437.4201244441834</v>
      </c>
      <c r="AA37" s="127">
        <f>Model!AG126</f>
        <v>458.45973376699794</v>
      </c>
      <c r="AB37" s="8"/>
      <c r="AC37" s="8"/>
      <c r="AD37" s="8"/>
      <c r="AE37" s="8"/>
    </row>
    <row r="38" ht="13.5" customHeight="1" spans="1:31" x14ac:dyDescent="0.25">
      <c r="A38" s="9"/>
      <c r="B38" s="8"/>
      <c r="C38" s="130" t="str">
        <f>Model!C127</f>
        <v>Total Current Assets</v>
      </c>
      <c r="D38" s="8"/>
      <c r="E38" s="8"/>
      <c r="F38" s="8"/>
      <c r="G38" s="131">
        <f t="shared" ref="G38:R38" si="22">SUM(G34:G37)</f>
        <v>0</v>
      </c>
      <c r="H38" s="131">
        <f t="shared" si="22"/>
        <v>0</v>
      </c>
      <c r="I38" s="131">
        <f t="shared" si="22"/>
        <v>0</v>
      </c>
      <c r="J38" s="132">
        <f t="shared" si="22"/>
        <v>0</v>
      </c>
      <c r="K38" s="131">
        <f t="shared" si="22"/>
        <v>0</v>
      </c>
      <c r="L38" s="131">
        <f t="shared" si="22"/>
        <v>0</v>
      </c>
      <c r="M38" s="131">
        <f t="shared" si="22"/>
        <v>0</v>
      </c>
      <c r="N38" s="133">
        <f t="shared" si="22"/>
        <v>2535.0601573212343</v>
      </c>
      <c r="O38" s="131">
        <f t="shared" si="22"/>
        <v>2414.2539151669002</v>
      </c>
      <c r="P38" s="131">
        <f t="shared" si="22"/>
        <v>2493.767570687526</v>
      </c>
      <c r="Q38" s="131">
        <f t="shared" si="22"/>
        <v>2491.115239739012</v>
      </c>
      <c r="R38" s="131">
        <f t="shared" si="22"/>
        <v>2487.7597825447383</v>
      </c>
      <c r="S38" s="8"/>
      <c r="T38" s="131">
        <f t="shared" ref="T38:AA38" si="23">SUM(T34:T37)</f>
        <v>0</v>
      </c>
      <c r="U38" s="131">
        <f t="shared" si="23"/>
        <v>0</v>
      </c>
      <c r="V38" s="132">
        <f t="shared" si="23"/>
        <v>0</v>
      </c>
      <c r="W38" s="131">
        <f t="shared" si="23"/>
        <v>2535.0601573212343</v>
      </c>
      <c r="X38" s="131">
        <f t="shared" si="23"/>
        <v>2487.7597825447383</v>
      </c>
      <c r="Y38" s="131">
        <f t="shared" si="23"/>
        <v>2821.665923620758</v>
      </c>
      <c r="Z38" s="131">
        <f t="shared" si="23"/>
        <v>2932.28665252821</v>
      </c>
      <c r="AA38" s="131">
        <f t="shared" si="23"/>
        <v>3073.327638399837</v>
      </c>
      <c r="AB38" s="8"/>
      <c r="AC38" s="8"/>
      <c r="AD38" s="8"/>
      <c r="AE38" s="8"/>
    </row>
    <row r="39" ht="13.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3.5" customHeight="1" spans="1:31" x14ac:dyDescent="0.25">
      <c r="A40" s="9"/>
      <c r="B40" s="8"/>
      <c r="C40" s="8" t="str">
        <f>Model!C129</f>
        <v>PP&amp;E, Net</v>
      </c>
      <c r="D40" s="8"/>
      <c r="E40" s="8"/>
      <c r="F40" s="8"/>
      <c r="G40" s="107">
        <f>Model!P129</f>
        <v>0</v>
      </c>
      <c r="H40" s="107">
        <f>Model!Q129</f>
        <v>0</v>
      </c>
      <c r="I40" s="107">
        <f>Model!R129</f>
        <v>0</v>
      </c>
      <c r="J40" s="108">
        <f>Model!S129</f>
        <v>0</v>
      </c>
      <c r="K40" s="107">
        <f>Model!U129</f>
        <v>0</v>
      </c>
      <c r="L40" s="107">
        <f>Model!V129</f>
        <v>0</v>
      </c>
      <c r="M40" s="107">
        <f>Model!W129</f>
        <v>0</v>
      </c>
      <c r="N40" s="109">
        <f>Model!X129</f>
        <v>12225.409495463613</v>
      </c>
      <c r="O40" s="107">
        <f>Model!Z129</f>
        <v>12223.925315500273</v>
      </c>
      <c r="P40" s="107">
        <f>Model!AA129</f>
        <v>12261.636408656364</v>
      </c>
      <c r="Q40" s="107">
        <f>Model!AB129</f>
        <v>12278.122690388751</v>
      </c>
      <c r="R40" s="107">
        <f>Model!AC129</f>
        <v>12319.54840163923</v>
      </c>
      <c r="S40" s="8"/>
      <c r="T40" s="107">
        <f>Model!J129</f>
        <v>0</v>
      </c>
      <c r="U40" s="107">
        <f>Model!O129</f>
        <v>0</v>
      </c>
      <c r="V40" s="108">
        <f>Model!T129</f>
        <v>0</v>
      </c>
      <c r="W40" s="107">
        <f>Model!Y129</f>
        <v>12225.409495463613</v>
      </c>
      <c r="X40" s="107">
        <f>Model!AD129</f>
        <v>12319.54840163923</v>
      </c>
      <c r="Y40" s="107">
        <f>Model!AE129</f>
        <v>12397.11712117187</v>
      </c>
      <c r="Z40" s="107">
        <f>Model!AF129</f>
        <v>12427.3819803219</v>
      </c>
      <c r="AA40" s="107">
        <f>Model!AG129</f>
        <v>12466.501653001646</v>
      </c>
      <c r="AB40" s="8"/>
      <c r="AC40" s="8"/>
      <c r="AD40" s="8"/>
      <c r="AE40" s="8"/>
    </row>
    <row r="41" ht="13.5" customHeight="1" spans="1:31" x14ac:dyDescent="0.25">
      <c r="A41" s="9"/>
      <c r="B41" s="8"/>
      <c r="C41" s="8" t="str">
        <f>Model!C130</f>
        <v>Intangible Assets, Net</v>
      </c>
      <c r="D41" s="8"/>
      <c r="E41" s="8"/>
      <c r="F41" s="8"/>
      <c r="G41" s="127">
        <f>Model!P130</f>
        <v>0</v>
      </c>
      <c r="H41" s="127">
        <f>Model!Q130</f>
        <v>0</v>
      </c>
      <c r="I41" s="127">
        <f>Model!R130</f>
        <v>0</v>
      </c>
      <c r="J41" s="128">
        <f>Model!S130</f>
        <v>0</v>
      </c>
      <c r="K41" s="127">
        <f>Model!U130</f>
        <v>0</v>
      </c>
      <c r="L41" s="127">
        <f>Model!V130</f>
        <v>0</v>
      </c>
      <c r="M41" s="127">
        <f>Model!W130</f>
        <v>0</v>
      </c>
      <c r="N41" s="129">
        <f>Model!X130</f>
        <v>0</v>
      </c>
      <c r="O41" s="127">
        <f>Model!Z130</f>
        <v>0</v>
      </c>
      <c r="P41" s="127">
        <f>Model!AA130</f>
        <v>0</v>
      </c>
      <c r="Q41" s="127">
        <f>Model!AB130</f>
        <v>0</v>
      </c>
      <c r="R41" s="127">
        <f>Model!AC130</f>
        <v>0</v>
      </c>
      <c r="S41" s="8"/>
      <c r="T41" s="127">
        <f>Model!J130</f>
        <v>0</v>
      </c>
      <c r="U41" s="127">
        <f>Model!O130</f>
        <v>0</v>
      </c>
      <c r="V41" s="128">
        <f>Model!T130</f>
        <v>0</v>
      </c>
      <c r="W41" s="127">
        <f>Model!Y130</f>
        <v>0</v>
      </c>
      <c r="X41" s="127">
        <f>Model!AD130</f>
        <v>0</v>
      </c>
      <c r="Y41" s="127">
        <f>Model!AE130</f>
        <v>0</v>
      </c>
      <c r="Z41" s="127">
        <f>Model!AF130</f>
        <v>0</v>
      </c>
      <c r="AA41" s="127">
        <f>Model!AG130</f>
        <v>0</v>
      </c>
      <c r="AB41" s="8"/>
      <c r="AC41" s="8"/>
      <c r="AD41" s="8"/>
      <c r="AE41" s="8"/>
    </row>
    <row r="42" ht="13.5" customHeight="1" spans="1:31" x14ac:dyDescent="0.25">
      <c r="A42" s="9"/>
      <c r="B42" s="8"/>
      <c r="C42" s="8" t="str">
        <f>Model!C131</f>
        <v>Goodwill</v>
      </c>
      <c r="D42" s="8"/>
      <c r="E42" s="8"/>
      <c r="F42" s="8"/>
      <c r="G42" s="127">
        <f>Model!P131</f>
        <v>0</v>
      </c>
      <c r="H42" s="127">
        <f>Model!Q131</f>
        <v>0</v>
      </c>
      <c r="I42" s="127">
        <f>Model!R131</f>
        <v>0</v>
      </c>
      <c r="J42" s="128">
        <f>Model!S131</f>
        <v>0</v>
      </c>
      <c r="K42" s="127">
        <f>Model!U131</f>
        <v>0</v>
      </c>
      <c r="L42" s="127">
        <f>Model!V131</f>
        <v>0</v>
      </c>
      <c r="M42" s="127">
        <f>Model!W131</f>
        <v>0</v>
      </c>
      <c r="N42" s="129">
        <f>Model!X131</f>
        <v>0</v>
      </c>
      <c r="O42" s="127">
        <f>Model!Z131</f>
        <v>0</v>
      </c>
      <c r="P42" s="127">
        <f>Model!AA131</f>
        <v>0</v>
      </c>
      <c r="Q42" s="127">
        <f>Model!AB131</f>
        <v>0</v>
      </c>
      <c r="R42" s="127">
        <f>Model!AC131</f>
        <v>0</v>
      </c>
      <c r="S42" s="8"/>
      <c r="T42" s="127">
        <f>Model!J131</f>
        <v>0</v>
      </c>
      <c r="U42" s="127">
        <f>Model!O131</f>
        <v>0</v>
      </c>
      <c r="V42" s="128">
        <f>Model!T131</f>
        <v>0</v>
      </c>
      <c r="W42" s="127">
        <f>Model!Y131</f>
        <v>0</v>
      </c>
      <c r="X42" s="127">
        <f>Model!AD131</f>
        <v>0</v>
      </c>
      <c r="Y42" s="127">
        <f>Model!AE131</f>
        <v>0</v>
      </c>
      <c r="Z42" s="127">
        <f>Model!AF131</f>
        <v>0</v>
      </c>
      <c r="AA42" s="127">
        <f>Model!AG131</f>
        <v>0</v>
      </c>
      <c r="AB42" s="8"/>
      <c r="AC42" s="8"/>
      <c r="AD42" s="8"/>
      <c r="AE42" s="8"/>
    </row>
    <row r="43" ht="13.5" customHeight="1" spans="1:31" x14ac:dyDescent="0.25">
      <c r="A43" s="9"/>
      <c r="B43" s="8"/>
      <c r="C43" s="8" t="str">
        <f>Model!C132</f>
        <v>Other Non-Current Assets</v>
      </c>
      <c r="D43" s="8"/>
      <c r="E43" s="8"/>
      <c r="F43" s="8"/>
      <c r="G43" s="127">
        <f>Model!P132</f>
        <v>0</v>
      </c>
      <c r="H43" s="127">
        <f>Model!Q132</f>
        <v>0</v>
      </c>
      <c r="I43" s="127">
        <f>Model!R132</f>
        <v>0</v>
      </c>
      <c r="J43" s="128">
        <f>Model!S132</f>
        <v>0</v>
      </c>
      <c r="K43" s="127">
        <f>Model!U132</f>
        <v>0</v>
      </c>
      <c r="L43" s="127">
        <f>Model!V132</f>
        <v>0</v>
      </c>
      <c r="M43" s="127">
        <f>Model!W132</f>
        <v>0</v>
      </c>
      <c r="N43" s="129">
        <f>Model!X132</f>
        <v>0</v>
      </c>
      <c r="O43" s="127">
        <f>Model!Z132</f>
        <v>0</v>
      </c>
      <c r="P43" s="127">
        <f>Model!AA132</f>
        <v>0</v>
      </c>
      <c r="Q43" s="127">
        <f>Model!AB132</f>
        <v>0</v>
      </c>
      <c r="R43" s="127">
        <f>Model!AC132</f>
        <v>0</v>
      </c>
      <c r="S43" s="8"/>
      <c r="T43" s="127">
        <f>Model!J132</f>
        <v>0</v>
      </c>
      <c r="U43" s="127">
        <f>Model!O132</f>
        <v>0</v>
      </c>
      <c r="V43" s="128">
        <f>Model!T132</f>
        <v>0</v>
      </c>
      <c r="W43" s="127">
        <f>Model!Y132</f>
        <v>0</v>
      </c>
      <c r="X43" s="127">
        <f>Model!AD132</f>
        <v>0</v>
      </c>
      <c r="Y43" s="127">
        <f>Model!AE132</f>
        <v>0</v>
      </c>
      <c r="Z43" s="127">
        <f>Model!AF132</f>
        <v>0</v>
      </c>
      <c r="AA43" s="127">
        <f>Model!AG132</f>
        <v>0</v>
      </c>
      <c r="AB43" s="8"/>
      <c r="AC43" s="8"/>
      <c r="AD43" s="8"/>
      <c r="AE43" s="8"/>
    </row>
    <row r="44" ht="13.5" customHeight="1" spans="1:31" x14ac:dyDescent="0.25">
      <c r="A44" s="9"/>
      <c r="B44" s="8"/>
      <c r="C44" s="130" t="str">
        <f>Model!C133</f>
        <v>Total Non-Current Assets</v>
      </c>
      <c r="D44" s="8"/>
      <c r="E44" s="8"/>
      <c r="F44" s="8"/>
      <c r="G44" s="131">
        <f t="shared" ref="G44:R44" si="24">SUM(G40:G43)</f>
        <v>0</v>
      </c>
      <c r="H44" s="131">
        <f t="shared" si="24"/>
        <v>0</v>
      </c>
      <c r="I44" s="131">
        <f t="shared" si="24"/>
        <v>0</v>
      </c>
      <c r="J44" s="132">
        <f t="shared" si="24"/>
        <v>0</v>
      </c>
      <c r="K44" s="131">
        <f t="shared" si="24"/>
        <v>0</v>
      </c>
      <c r="L44" s="131">
        <f t="shared" si="24"/>
        <v>0</v>
      </c>
      <c r="M44" s="131">
        <f t="shared" si="24"/>
        <v>0</v>
      </c>
      <c r="N44" s="133">
        <f t="shared" si="24"/>
        <v>31362.659495463613</v>
      </c>
      <c r="O44" s="131">
        <f t="shared" si="24"/>
        <v>31446.625515500273</v>
      </c>
      <c r="P44" s="131">
        <f t="shared" si="24"/>
        <v>31573.546617456366</v>
      </c>
      <c r="Q44" s="131">
        <f t="shared" si="24"/>
        <v>31683.168148375953</v>
      </c>
      <c r="R44" s="131">
        <f t="shared" si="24"/>
        <v>31821.82705977787</v>
      </c>
      <c r="S44" s="8"/>
      <c r="T44" s="131">
        <f t="shared" ref="T44:AA44" si="25">SUM(T40:T43)</f>
        <v>0</v>
      </c>
      <c r="U44" s="131">
        <f t="shared" si="25"/>
        <v>0</v>
      </c>
      <c r="V44" s="132">
        <f t="shared" si="25"/>
        <v>0</v>
      </c>
      <c r="W44" s="131">
        <f t="shared" si="25"/>
        <v>31362.659495463613</v>
      </c>
      <c r="X44" s="131">
        <f t="shared" si="25"/>
        <v>31821.82705977787</v>
      </c>
      <c r="Y44" s="131">
        <f t="shared" si="25"/>
        <v>32056.27712806394</v>
      </c>
      <c r="Z44" s="131">
        <f t="shared" si="25"/>
        <v>32251.62730767573</v>
      </c>
      <c r="AA44" s="131">
        <f t="shared" si="25"/>
        <v>32474.78015327025</v>
      </c>
      <c r="AB44" s="8"/>
      <c r="AC44" s="8"/>
      <c r="AD44" s="8"/>
      <c r="AE44" s="8"/>
    </row>
    <row r="45" ht="13.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3.5" customHeight="1" spans="1:31" x14ac:dyDescent="0.25">
      <c r="A46" s="9"/>
      <c r="B46" s="8"/>
      <c r="C46" s="130" t="str">
        <f>Model!C135</f>
        <v>Total Assets</v>
      </c>
      <c r="D46" s="8"/>
      <c r="E46" s="8"/>
      <c r="F46" s="8"/>
      <c r="G46" s="137">
        <f t="shared" ref="G46:R46" si="26">SUM(G38,G44)</f>
        <v>0</v>
      </c>
      <c r="H46" s="137">
        <f t="shared" si="26"/>
        <v>0</v>
      </c>
      <c r="I46" s="137">
        <f t="shared" si="26"/>
        <v>0</v>
      </c>
      <c r="J46" s="138">
        <f t="shared" si="26"/>
        <v>0</v>
      </c>
      <c r="K46" s="137">
        <f t="shared" si="26"/>
        <v>0</v>
      </c>
      <c r="L46" s="137">
        <f t="shared" si="26"/>
        <v>0</v>
      </c>
      <c r="M46" s="137">
        <f t="shared" si="26"/>
        <v>0</v>
      </c>
      <c r="N46" s="139">
        <f t="shared" si="26"/>
        <v>33897.71965278485</v>
      </c>
      <c r="O46" s="137">
        <f t="shared" si="26"/>
        <v>33860.87943066717</v>
      </c>
      <c r="P46" s="137">
        <f t="shared" si="26"/>
        <v>34067.31418814389</v>
      </c>
      <c r="Q46" s="137">
        <f t="shared" si="26"/>
        <v>34174.28338811496</v>
      </c>
      <c r="R46" s="137">
        <f t="shared" si="26"/>
        <v>34309.586842322606</v>
      </c>
      <c r="S46" s="140"/>
      <c r="T46" s="137">
        <f t="shared" ref="T46:AA46" si="27">SUM(T38,T44)</f>
        <v>0</v>
      </c>
      <c r="U46" s="137">
        <f t="shared" si="27"/>
        <v>0</v>
      </c>
      <c r="V46" s="138">
        <f t="shared" si="27"/>
        <v>0</v>
      </c>
      <c r="W46" s="137">
        <f t="shared" si="27"/>
        <v>33897.71965278485</v>
      </c>
      <c r="X46" s="137">
        <f t="shared" si="27"/>
        <v>34309.586842322606</v>
      </c>
      <c r="Y46" s="137">
        <f t="shared" si="27"/>
        <v>34877.9430516847</v>
      </c>
      <c r="Z46" s="137">
        <f t="shared" si="27"/>
        <v>35183.91396020394</v>
      </c>
      <c r="AA46" s="137">
        <f t="shared" si="27"/>
        <v>35548.10779167009</v>
      </c>
      <c r="AB46" s="8"/>
      <c r="AC46" s="8"/>
      <c r="AD46" s="8"/>
      <c r="AE46" s="8"/>
    </row>
    <row r="47" ht="13.5" customHeight="1" spans="1:31" x14ac:dyDescent="0.25">
      <c r="A47" s="9"/>
      <c r="B47" s="8"/>
      <c r="C47" s="8"/>
      <c r="D47" s="8"/>
      <c r="E47" s="8"/>
      <c r="F47" s="8"/>
      <c r="G47" s="8"/>
      <c r="H47" s="8"/>
      <c r="I47" s="8"/>
      <c r="J47" s="115"/>
      <c r="K47" s="8"/>
      <c r="L47" s="8"/>
      <c r="M47" s="8"/>
      <c r="N47" s="116"/>
      <c r="O47" s="8"/>
      <c r="P47" s="8"/>
      <c r="Q47" s="8"/>
      <c r="R47" s="8"/>
      <c r="S47" s="8"/>
      <c r="T47" s="8"/>
      <c r="U47" s="8"/>
      <c r="V47" s="115"/>
      <c r="W47" s="8"/>
      <c r="X47" s="8"/>
      <c r="Y47" s="8"/>
      <c r="Z47" s="8"/>
      <c r="AA47" s="8"/>
      <c r="AB47" s="8"/>
      <c r="AC47" s="8"/>
      <c r="AD47" s="8"/>
      <c r="AE47" s="8"/>
    </row>
    <row r="48" ht="13.5" customHeight="1" spans="1:31" x14ac:dyDescent="0.25">
      <c r="A48" s="9"/>
      <c r="B48" s="8"/>
      <c r="C48" s="8" t="str">
        <f>Model!C137</f>
        <v>Accounts Payable</v>
      </c>
      <c r="D48" s="8"/>
      <c r="E48" s="8"/>
      <c r="F48" s="8"/>
      <c r="G48" s="127">
        <f>Model!P137</f>
        <v>0</v>
      </c>
      <c r="H48" s="127">
        <f>Model!Q137</f>
        <v>0</v>
      </c>
      <c r="I48" s="127">
        <f>Model!R137</f>
        <v>0</v>
      </c>
      <c r="J48" s="128">
        <f>Model!S137</f>
        <v>0</v>
      </c>
      <c r="K48" s="127">
        <f>Model!U137</f>
        <v>0</v>
      </c>
      <c r="L48" s="127">
        <f>Model!V137</f>
        <v>0</v>
      </c>
      <c r="M48" s="127">
        <f>Model!W137</f>
        <v>0</v>
      </c>
      <c r="N48" s="129">
        <f>Model!X137</f>
        <v>1305.2869095615652</v>
      </c>
      <c r="O48" s="127">
        <f>Model!Z137</f>
        <v>1342.468872052</v>
      </c>
      <c r="P48" s="127">
        <f>Model!AA137</f>
        <v>1407.6591235914836</v>
      </c>
      <c r="Q48" s="127">
        <f>Model!AB137</f>
        <v>1379.2511549586955</v>
      </c>
      <c r="R48" s="127">
        <f>Model!AC137</f>
        <v>1349.7246740368696</v>
      </c>
      <c r="S48" s="8"/>
      <c r="T48" s="127">
        <f>Model!J137</f>
        <v>0</v>
      </c>
      <c r="U48" s="127">
        <f>Model!O137</f>
        <v>0</v>
      </c>
      <c r="V48" s="128">
        <f>Model!T137</f>
        <v>0</v>
      </c>
      <c r="W48" s="127">
        <f>Model!Y137</f>
        <v>1305.2869095615652</v>
      </c>
      <c r="X48" s="127">
        <f>Model!AD137</f>
        <v>1349.7246740368696</v>
      </c>
      <c r="Y48" s="127">
        <f>Model!AE137</f>
        <v>1401.1166467517003</v>
      </c>
      <c r="Z48" s="127">
        <f>Model!AF137</f>
        <v>1464.4586084131292</v>
      </c>
      <c r="AA48" s="127">
        <f>Model!AG137</f>
        <v>1534.8980675706073</v>
      </c>
      <c r="AB48" s="8"/>
      <c r="AC48" s="8"/>
      <c r="AD48" s="8"/>
      <c r="AE48" s="8"/>
    </row>
    <row r="49" ht="13.5" customHeight="1" spans="1:31" x14ac:dyDescent="0.25">
      <c r="A49" s="9"/>
      <c r="B49" s="8"/>
      <c r="C49" s="8" t="str">
        <f>Model!C138</f>
        <v>Accrued Liabilities</v>
      </c>
      <c r="D49" s="8"/>
      <c r="E49" s="8"/>
      <c r="F49" s="8"/>
      <c r="G49" s="127">
        <f>Model!P138</f>
        <v>0</v>
      </c>
      <c r="H49" s="127">
        <f>Model!Q138</f>
        <v>0</v>
      </c>
      <c r="I49" s="127">
        <f>Model!R138</f>
        <v>0</v>
      </c>
      <c r="J49" s="128">
        <f>Model!S138</f>
        <v>0</v>
      </c>
      <c r="K49" s="127">
        <f>Model!U138</f>
        <v>0</v>
      </c>
      <c r="L49" s="127">
        <f>Model!V138</f>
        <v>0</v>
      </c>
      <c r="M49" s="127">
        <f>Model!W138</f>
        <v>0</v>
      </c>
      <c r="N49" s="129">
        <f>Model!X138</f>
        <v>153.30178171872</v>
      </c>
      <c r="O49" s="127">
        <f>Model!Z138</f>
        <v>139.61676269340802</v>
      </c>
      <c r="P49" s="127">
        <f>Model!AA138</f>
        <v>147.9057916252</v>
      </c>
      <c r="Q49" s="127">
        <f>Model!AB138</f>
        <v>146.51344227519996</v>
      </c>
      <c r="R49" s="127">
        <f>Model!AC138</f>
        <v>144.87044834662402</v>
      </c>
      <c r="S49" s="8"/>
      <c r="T49" s="127">
        <f>Model!J138</f>
        <v>0</v>
      </c>
      <c r="U49" s="127">
        <f>Model!O138</f>
        <v>0</v>
      </c>
      <c r="V49" s="128">
        <f>Model!T138</f>
        <v>0</v>
      </c>
      <c r="W49" s="127">
        <f>Model!Y138</f>
        <v>153.30178171872</v>
      </c>
      <c r="X49" s="127">
        <f>Model!AD138</f>
        <v>144.87044834662402</v>
      </c>
      <c r="Y49" s="127">
        <f>Model!AE138</f>
        <v>150.73065399791977</v>
      </c>
      <c r="Z49" s="127">
        <f>Model!AF138</f>
        <v>159.22092529768278</v>
      </c>
      <c r="AA49" s="127">
        <f>Model!AG138</f>
        <v>166.87934309118728</v>
      </c>
      <c r="AB49" s="8"/>
      <c r="AC49" s="8"/>
      <c r="AD49" s="8"/>
      <c r="AE49" s="8"/>
    </row>
    <row r="50" ht="13.5" customHeight="1" spans="1:31" x14ac:dyDescent="0.25">
      <c r="A50" s="9"/>
      <c r="B50" s="8"/>
      <c r="C50" s="8" t="str">
        <f>Model!C139</f>
        <v>Other Current Liabilities</v>
      </c>
      <c r="D50" s="8"/>
      <c r="E50" s="8"/>
      <c r="F50" s="8"/>
      <c r="G50" s="127">
        <f>Model!P139</f>
        <v>0</v>
      </c>
      <c r="H50" s="127">
        <f>Model!Q139</f>
        <v>0</v>
      </c>
      <c r="I50" s="127">
        <f>Model!R139</f>
        <v>0</v>
      </c>
      <c r="J50" s="128">
        <f>Model!S139</f>
        <v>0</v>
      </c>
      <c r="K50" s="127">
        <f>Model!U139</f>
        <v>0</v>
      </c>
      <c r="L50" s="127">
        <f>Model!V139</f>
        <v>0</v>
      </c>
      <c r="M50" s="127">
        <f>Model!W139</f>
        <v>0</v>
      </c>
      <c r="N50" s="129">
        <f>Model!X139</f>
        <v>2810.5326648432</v>
      </c>
      <c r="O50" s="127">
        <f>Model!Z139</f>
        <v>2792.3352538681606</v>
      </c>
      <c r="P50" s="127">
        <f>Model!AA139</f>
        <v>2958.1158325040005</v>
      </c>
      <c r="Q50" s="127">
        <f>Model!AB139</f>
        <v>2930.2688455039997</v>
      </c>
      <c r="R50" s="127">
        <f>Model!AC139</f>
        <v>2897.4089669324803</v>
      </c>
      <c r="S50" s="8"/>
      <c r="T50" s="127">
        <f>Model!J139</f>
        <v>0</v>
      </c>
      <c r="U50" s="127">
        <f>Model!O139</f>
        <v>0</v>
      </c>
      <c r="V50" s="128">
        <f>Model!T139</f>
        <v>0</v>
      </c>
      <c r="W50" s="127">
        <f>Model!Y139</f>
        <v>2810.5326648432</v>
      </c>
      <c r="X50" s="127">
        <f>Model!AD139</f>
        <v>2897.4089669324803</v>
      </c>
      <c r="Y50" s="127">
        <f>Model!AE139</f>
        <v>3014.6130799583952</v>
      </c>
      <c r="Z50" s="127">
        <f>Model!AF139</f>
        <v>3184.4185059536558</v>
      </c>
      <c r="AA50" s="127">
        <f>Model!AG139</f>
        <v>3337.586861823746</v>
      </c>
      <c r="AB50" s="8"/>
      <c r="AC50" s="8"/>
      <c r="AD50" s="8"/>
      <c r="AE50" s="8"/>
    </row>
    <row r="51" ht="13.5" customHeight="1" spans="1:31" x14ac:dyDescent="0.25">
      <c r="A51" s="9"/>
      <c r="B51" s="8"/>
      <c r="C51" s="130" t="str">
        <f>Model!C140</f>
        <v>Total Current Liabilities (Excl. Debt)</v>
      </c>
      <c r="D51" s="8"/>
      <c r="E51" s="8"/>
      <c r="F51" s="8"/>
      <c r="G51" s="131">
        <f t="shared" ref="G51:R51" si="28">SUM(G48:G50)</f>
        <v>0</v>
      </c>
      <c r="H51" s="131">
        <f t="shared" si="28"/>
        <v>0</v>
      </c>
      <c r="I51" s="131">
        <f t="shared" si="28"/>
        <v>0</v>
      </c>
      <c r="J51" s="132">
        <f t="shared" si="28"/>
        <v>0</v>
      </c>
      <c r="K51" s="131">
        <f t="shared" si="28"/>
        <v>0</v>
      </c>
      <c r="L51" s="131">
        <f t="shared" si="28"/>
        <v>0</v>
      </c>
      <c r="M51" s="131">
        <f t="shared" si="28"/>
        <v>0</v>
      </c>
      <c r="N51" s="133">
        <f t="shared" si="28"/>
        <v>4269.121356123485</v>
      </c>
      <c r="O51" s="131">
        <f t="shared" si="28"/>
        <v>4274.420888613568</v>
      </c>
      <c r="P51" s="131">
        <f t="shared" si="28"/>
        <v>4513.680747720684</v>
      </c>
      <c r="Q51" s="131">
        <f t="shared" si="28"/>
        <v>4456.033442737895</v>
      </c>
      <c r="R51" s="131">
        <f t="shared" si="28"/>
        <v>4392.004089315974</v>
      </c>
      <c r="S51" s="8"/>
      <c r="T51" s="131">
        <f t="shared" ref="T51:AA51" si="29">SUM(T48:T50)</f>
        <v>0</v>
      </c>
      <c r="U51" s="131">
        <f t="shared" si="29"/>
        <v>0</v>
      </c>
      <c r="V51" s="132">
        <f t="shared" si="29"/>
        <v>0</v>
      </c>
      <c r="W51" s="131">
        <f t="shared" si="29"/>
        <v>4269.121356123485</v>
      </c>
      <c r="X51" s="131">
        <f t="shared" si="29"/>
        <v>4392.004089315974</v>
      </c>
      <c r="Y51" s="131">
        <f t="shared" si="29"/>
        <v>4566.460380708015</v>
      </c>
      <c r="Z51" s="131">
        <f t="shared" si="29"/>
        <v>4808.098039664468</v>
      </c>
      <c r="AA51" s="131">
        <f t="shared" si="29"/>
        <v>5039.364272485541</v>
      </c>
      <c r="AB51" s="8"/>
      <c r="AC51" s="8"/>
      <c r="AD51" s="8"/>
      <c r="AE51" s="8"/>
    </row>
    <row r="52" ht="13.5" customHeight="1" spans="1:31" x14ac:dyDescent="0.25">
      <c r="A52" s="9"/>
      <c r="B52" s="8"/>
      <c r="C52" s="8"/>
      <c r="D52" s="8"/>
      <c r="E52" s="8"/>
      <c r="F52" s="8"/>
      <c r="G52" s="134"/>
      <c r="H52" s="134"/>
      <c r="I52" s="134"/>
      <c r="J52" s="135"/>
      <c r="K52" s="134"/>
      <c r="L52" s="134"/>
      <c r="M52" s="134"/>
      <c r="N52" s="136"/>
      <c r="O52" s="134"/>
      <c r="P52" s="134"/>
      <c r="Q52" s="134"/>
      <c r="R52" s="134"/>
      <c r="S52" s="8"/>
      <c r="T52" s="134"/>
      <c r="U52" s="134"/>
      <c r="V52" s="135"/>
      <c r="W52" s="134"/>
      <c r="X52" s="134"/>
      <c r="Y52" s="134"/>
      <c r="Z52" s="134"/>
      <c r="AA52" s="134"/>
      <c r="AB52" s="8"/>
      <c r="AC52" s="8"/>
      <c r="AD52" s="8"/>
      <c r="AE52" s="8"/>
    </row>
    <row r="53" ht="13.5" customHeight="1" spans="1:31" x14ac:dyDescent="0.25">
      <c r="A53" s="9"/>
      <c r="B53" s="8"/>
      <c r="C53" s="8" t="str">
        <f>Model!C142</f>
        <v>Revolver</v>
      </c>
      <c r="D53" s="8"/>
      <c r="E53" s="8"/>
      <c r="F53" s="8"/>
      <c r="G53" s="107">
        <f>Model!P142</f>
        <v>0</v>
      </c>
      <c r="H53" s="107">
        <f>Model!Q142</f>
        <v>0</v>
      </c>
      <c r="I53" s="107">
        <f>Model!R142</f>
        <v>0</v>
      </c>
      <c r="J53" s="108">
        <f>Model!S142</f>
        <v>0</v>
      </c>
      <c r="K53" s="107">
        <f>Model!U142</f>
        <v>0</v>
      </c>
      <c r="L53" s="107">
        <f>Model!V142</f>
        <v>0</v>
      </c>
      <c r="M53" s="107">
        <f>Model!W142</f>
        <v>0</v>
      </c>
      <c r="N53" s="109">
        <f>Model!X142</f>
        <v>144.75856346091928</v>
      </c>
      <c r="O53" s="107">
        <f>Model!Z142</f>
        <v>3375.114643604813</v>
      </c>
      <c r="P53" s="107">
        <f>Model!AA142</f>
        <v>293.00155435436494</v>
      </c>
      <c r="Q53" s="107">
        <f>Model!AB142</f>
        <v>973.4035943821218</v>
      </c>
      <c r="R53" s="107">
        <f>Model!AC142</f>
        <v>892.3402830960487</v>
      </c>
      <c r="S53" s="8"/>
      <c r="T53" s="107">
        <f>Model!J142</f>
        <v>0</v>
      </c>
      <c r="U53" s="107">
        <f>Model!O142</f>
        <v>0</v>
      </c>
      <c r="V53" s="108">
        <f>Model!T142</f>
        <v>0</v>
      </c>
      <c r="W53" s="107">
        <f>Model!Y142</f>
        <v>144.75856346091928</v>
      </c>
      <c r="X53" s="107">
        <f>Model!AD142</f>
        <v>892.3402830960487</v>
      </c>
      <c r="Y53" s="107">
        <f>Model!AE142</f>
        <v>1086.0882231624637</v>
      </c>
      <c r="Z53" s="107">
        <f>Model!AF142</f>
        <v>1691.765371935954</v>
      </c>
      <c r="AA53" s="107">
        <f>Model!AG142</f>
        <v>2456.6646914939856</v>
      </c>
      <c r="AB53" s="8"/>
      <c r="AC53" s="8"/>
      <c r="AD53" s="8"/>
      <c r="AE53" s="8"/>
    </row>
    <row r="54" ht="13.5" customHeight="1" spans="1:31" x14ac:dyDescent="0.25">
      <c r="A54" s="9"/>
      <c r="B54" s="8"/>
      <c r="C54" s="8" t="str">
        <f>Model!C143</f>
        <v>LT Debt (Incl. Current Portion)</v>
      </c>
      <c r="D54" s="8"/>
      <c r="E54" s="8"/>
      <c r="F54" s="8"/>
      <c r="G54" s="127">
        <f>Model!P143</f>
        <v>0</v>
      </c>
      <c r="H54" s="127">
        <f>Model!Q143</f>
        <v>0</v>
      </c>
      <c r="I54" s="127">
        <f>Model!R143</f>
        <v>0</v>
      </c>
      <c r="J54" s="128">
        <f>Model!S143</f>
        <v>0</v>
      </c>
      <c r="K54" s="127">
        <f>Model!U143</f>
        <v>0</v>
      </c>
      <c r="L54" s="127">
        <f>Model!V143</f>
        <v>0</v>
      </c>
      <c r="M54" s="127">
        <f>Model!W143</f>
        <v>0</v>
      </c>
      <c r="N54" s="129">
        <f>Model!X143</f>
        <v>250</v>
      </c>
      <c r="O54" s="127">
        <f>Model!Z143</f>
        <v>250</v>
      </c>
      <c r="P54" s="127">
        <f>Model!AA143</f>
        <v>-350</v>
      </c>
      <c r="Q54" s="127">
        <f>Model!AB143</f>
        <v>-950</v>
      </c>
      <c r="R54" s="127">
        <f>Model!AC143</f>
        <v>-1550</v>
      </c>
      <c r="S54" s="8"/>
      <c r="T54" s="127">
        <f>Model!J143</f>
        <v>0</v>
      </c>
      <c r="U54" s="127">
        <f>Model!O143</f>
        <v>0</v>
      </c>
      <c r="V54" s="128">
        <f>Model!T143</f>
        <v>0</v>
      </c>
      <c r="W54" s="127">
        <f>Model!Y143</f>
        <v>250</v>
      </c>
      <c r="X54" s="127">
        <f>Model!AD143</f>
        <v>-1550</v>
      </c>
      <c r="Y54" s="127">
        <f>Model!AE143</f>
        <v>-1550</v>
      </c>
      <c r="Z54" s="127">
        <f>Model!AF143</f>
        <v>-2150</v>
      </c>
      <c r="AA54" s="127">
        <f>Model!AG143</f>
        <v>-2750</v>
      </c>
      <c r="AB54" s="8"/>
      <c r="AC54" s="8"/>
      <c r="AD54" s="8"/>
      <c r="AE54" s="8"/>
    </row>
    <row r="55" ht="13.5" customHeight="1" spans="1:31" x14ac:dyDescent="0.25">
      <c r="A55" s="9"/>
      <c r="B55" s="8"/>
      <c r="C55" s="8" t="str">
        <f>Model!C144</f>
        <v>Deferred Income Taxes</v>
      </c>
      <c r="D55" s="8"/>
      <c r="E55" s="8"/>
      <c r="F55" s="8"/>
      <c r="G55" s="127">
        <f>Model!P144</f>
        <v>0</v>
      </c>
      <c r="H55" s="127">
        <f>Model!Q144</f>
        <v>0</v>
      </c>
      <c r="I55" s="127">
        <f>Model!R144</f>
        <v>0</v>
      </c>
      <c r="J55" s="128">
        <f>Model!S144</f>
        <v>0</v>
      </c>
      <c r="K55" s="127">
        <f>Model!U144</f>
        <v>0</v>
      </c>
      <c r="L55" s="127">
        <f>Model!V144</f>
        <v>0</v>
      </c>
      <c r="M55" s="127">
        <f>Model!W144</f>
        <v>0</v>
      </c>
      <c r="N55" s="129">
        <f>Model!X144</f>
        <v>1532.400000000005</v>
      </c>
      <c r="O55" s="127">
        <f>Model!Z144</f>
        <v>-1592.1111883313606</v>
      </c>
      <c r="P55" s="127">
        <f>Model!AA144</f>
        <v>1783.0034552734614</v>
      </c>
      <c r="Q55" s="127">
        <f>Model!AB144</f>
        <v>1783.0034552734542</v>
      </c>
      <c r="R55" s="127">
        <f>Model!AC144</f>
        <v>2756.407049655576</v>
      </c>
      <c r="S55" s="8"/>
      <c r="T55" s="127">
        <f>Model!J144</f>
        <v>0</v>
      </c>
      <c r="U55" s="127">
        <f>Model!O144</f>
        <v>0</v>
      </c>
      <c r="V55" s="128">
        <f>Model!T144</f>
        <v>0</v>
      </c>
      <c r="W55" s="127">
        <f>Model!Y144</f>
        <v>1532.400000000005</v>
      </c>
      <c r="X55" s="127">
        <f>Model!AD144</f>
        <v>2756.407049655576</v>
      </c>
      <c r="Y55" s="127">
        <f>Model!AE144</f>
        <v>2756.4070496555796</v>
      </c>
      <c r="Z55" s="127">
        <f>Model!AF144</f>
        <v>2756.407049655574</v>
      </c>
      <c r="AA55" s="127">
        <f>Model!AG144</f>
        <v>2756.407049655576</v>
      </c>
      <c r="AB55" s="8"/>
      <c r="AC55" s="8"/>
      <c r="AD55" s="8"/>
      <c r="AE55" s="8"/>
    </row>
    <row r="56" ht="13.5" customHeight="1" spans="1:31" x14ac:dyDescent="0.25">
      <c r="A56" s="9"/>
      <c r="B56" s="8"/>
      <c r="C56" s="8" t="str">
        <f>Model!C145</f>
        <v>Other Non-Current Liabilities</v>
      </c>
      <c r="D56" s="8"/>
      <c r="E56" s="8"/>
      <c r="F56" s="8"/>
      <c r="G56" s="127">
        <f>Model!P145</f>
        <v>0</v>
      </c>
      <c r="H56" s="127">
        <f>Model!Q145</f>
        <v>0</v>
      </c>
      <c r="I56" s="127">
        <f>Model!R145</f>
        <v>0</v>
      </c>
      <c r="J56" s="128">
        <f>Model!S145</f>
        <v>0</v>
      </c>
      <c r="K56" s="127">
        <f>Model!U145</f>
        <v>0</v>
      </c>
      <c r="L56" s="127">
        <f>Model!V145</f>
        <v>0</v>
      </c>
      <c r="M56" s="141">
        <f>Model!W145</f>
        <v>0</v>
      </c>
      <c r="N56" s="129">
        <f>Model!X145</f>
        <v>0</v>
      </c>
      <c r="O56" s="127">
        <f>Model!Z145</f>
        <v>0</v>
      </c>
      <c r="P56" s="127">
        <f>Model!AA145</f>
        <v>0</v>
      </c>
      <c r="Q56" s="127">
        <f>Model!AB145</f>
        <v>0</v>
      </c>
      <c r="R56" s="127">
        <f>Model!AC145</f>
        <v>0</v>
      </c>
      <c r="S56" s="8"/>
      <c r="T56" s="127">
        <f>Model!J145</f>
        <v>0</v>
      </c>
      <c r="U56" s="127">
        <f>Model!O145</f>
        <v>0</v>
      </c>
      <c r="V56" s="128">
        <f>Model!T145</f>
        <v>0</v>
      </c>
      <c r="W56" s="127">
        <f>Model!Y145</f>
        <v>0</v>
      </c>
      <c r="X56" s="127">
        <f>Model!AD145</f>
        <v>0</v>
      </c>
      <c r="Y56" s="127">
        <f>Model!AE145</f>
        <v>0</v>
      </c>
      <c r="Z56" s="127">
        <f>Model!AF145</f>
        <v>0</v>
      </c>
      <c r="AA56" s="127">
        <f>Model!AG145</f>
        <v>0</v>
      </c>
      <c r="AB56" s="8"/>
      <c r="AC56" s="8"/>
      <c r="AD56" s="8"/>
      <c r="AE56" s="8"/>
    </row>
    <row r="57" ht="13.5" customHeight="1" spans="1:31" x14ac:dyDescent="0.25">
      <c r="A57" s="9"/>
      <c r="B57" s="8"/>
      <c r="C57" s="130" t="str">
        <f>Model!C146</f>
        <v>Total Non-Current Liabilities</v>
      </c>
      <c r="D57" s="8"/>
      <c r="E57" s="8"/>
      <c r="F57" s="8"/>
      <c r="G57" s="131">
        <f>SUM(G53:G56)</f>
        <v>0</v>
      </c>
      <c r="H57" s="131">
        <f t="array" ref="H57">INDEX(Data,MATCH($C57,Line_Items,0),MATCH(H$32,Fiscal_Periods,0))</f>
        <v>0</v>
      </c>
      <c r="I57" s="131">
        <f t="array" ref="I57">INDEX(Data,MATCH($C57,Line_Items,0),MATCH(I$32,Fiscal_Periods,0))</f>
        <v>0</v>
      </c>
      <c r="J57" s="132">
        <f t="array" ref="J57">INDEX(Data,MATCH($C57,Line_Items,0),MATCH(J$32,Fiscal_Periods,0))</f>
        <v>0</v>
      </c>
      <c r="K57" s="131">
        <f t="array" ref="K57">INDEX(Data,MATCH($C57,Line_Items,0),MATCH(K$32,Fiscal_Periods,0))</f>
        <v>0</v>
      </c>
      <c r="L57" s="131">
        <f t="array" ref="L57">INDEX(Data,MATCH($C57,Line_Items,0),MATCH(L$32,Fiscal_Periods,0))</f>
        <v>0</v>
      </c>
      <c r="M57" s="131">
        <f t="array" ref="M57">INDEX(Data,MATCH($C57,Line_Items,0),MATCH(M$32,Fiscal_Periods,0))</f>
        <v>0</v>
      </c>
      <c r="N57" s="133">
        <f t="array" ref="N57">INDEX(Data,MATCH($C57,Line_Items,0),MATCH(N$32,Fiscal_Periods,0))</f>
        <v>17843.158563460922</v>
      </c>
      <c r="O57" s="131">
        <f t="array" ref="O57">INDEX(Data,MATCH($C57,Line_Items,0),MATCH(O$32,Fiscal_Periods,0))</f>
        <v>17949.00345527345</v>
      </c>
      <c r="P57" s="131">
        <f t="array" ref="P57">INDEX(Data,MATCH($C57,Line_Items,0),MATCH(P$32,Fiscal_Periods,0))</f>
        <v>17642.00500962783</v>
      </c>
      <c r="Q57" s="131">
        <f t="array" ref="Q57">INDEX(Data,MATCH($C57,Line_Items,0),MATCH(Q$32,Fiscal_Periods,0))</f>
        <v>17722.407049655576</v>
      </c>
      <c r="R57" s="131">
        <f t="array" ref="R57">INDEX(Data,MATCH($C57,Line_Items,0),MATCH(R$32,Fiscal_Periods,0))</f>
        <v>18014.747332751627</v>
      </c>
      <c r="S57" s="8"/>
      <c r="T57" s="131">
        <f t="array" ref="T57">INDEX(Data,MATCH($C57,Line_Items,0),MATCH(T$32,Fiscal_Periods,0))</f>
        <v>0</v>
      </c>
      <c r="U57" s="131">
        <f t="array" ref="U57">INDEX(Data,MATCH($C57,Line_Items,0),MATCH(U$32,Fiscal_Periods,0))</f>
        <v>0</v>
      </c>
      <c r="V57" s="132">
        <f t="array" ref="V57">INDEX(Data,MATCH($C57,Line_Items,0),MATCH(V$32,Fiscal_Periods,0))</f>
        <v>0</v>
      </c>
      <c r="W57" s="131">
        <f t="array" ref="W57">INDEX(Data,MATCH($C57,Line_Items,0),MATCH(W$32,Fiscal_Periods,0))</f>
        <v>17843.158563460922</v>
      </c>
      <c r="X57" s="131">
        <f t="array" ref="X57">INDEX(Data,MATCH($C57,Line_Items,0),MATCH(X$32,Fiscal_Periods,0))</f>
        <v>18014.747332751627</v>
      </c>
      <c r="Y57" s="131">
        <f t="array" ref="Y57">INDEX(Data,MATCH($C57,Line_Items,0),MATCH(Y$32,Fiscal_Periods,0))</f>
        <v>18208.495272818043</v>
      </c>
      <c r="Z57" s="131">
        <f t="array" ref="Z57">INDEX(Data,MATCH($C57,Line_Items,0),MATCH(Z$32,Fiscal_Periods,0))</f>
        <v>18214.172421591527</v>
      </c>
      <c r="AA57" s="131">
        <f t="array" ref="AA57">INDEX(Data,MATCH($C57,Line_Items,0),MATCH(AA$32,Fiscal_Periods,0))</f>
        <v>18379.07174114956</v>
      </c>
      <c r="AB57" s="8"/>
      <c r="AC57" s="8"/>
      <c r="AD57" s="8"/>
      <c r="AE57" s="8"/>
    </row>
    <row r="58" ht="13.5" customHeight="1" spans="1:31" x14ac:dyDescent="0.25">
      <c r="A58" s="9"/>
      <c r="B58" s="8"/>
      <c r="C58" s="8"/>
      <c r="D58" s="8"/>
      <c r="E58" s="8"/>
      <c r="F58" s="8"/>
      <c r="G58" s="134"/>
      <c r="H58" s="134"/>
      <c r="I58" s="134"/>
      <c r="J58" s="135"/>
      <c r="K58" s="134"/>
      <c r="L58" s="134"/>
      <c r="M58" s="134"/>
      <c r="N58" s="136"/>
      <c r="O58" s="134"/>
      <c r="P58" s="134"/>
      <c r="Q58" s="134"/>
      <c r="R58" s="134"/>
      <c r="S58" s="8"/>
      <c r="T58" s="134"/>
      <c r="U58" s="134"/>
      <c r="V58" s="135"/>
      <c r="W58" s="134"/>
      <c r="X58" s="134"/>
      <c r="Y58" s="134"/>
      <c r="Z58" s="134"/>
      <c r="AA58" s="134"/>
      <c r="AB58" s="8"/>
      <c r="AC58" s="8"/>
      <c r="AD58" s="8"/>
      <c r="AE58" s="8"/>
    </row>
    <row r="59" ht="13.5" customHeight="1" spans="1:31" x14ac:dyDescent="0.25">
      <c r="A59" s="9"/>
      <c r="B59" s="8"/>
      <c r="C59" s="130" t="str">
        <f>Model!C148</f>
        <v>Total Liabilities</v>
      </c>
      <c r="D59" s="8"/>
      <c r="E59" s="8"/>
      <c r="F59" s="8"/>
      <c r="G59" s="131">
        <f t="shared" ref="G59:R59" si="30">SUM(G51,G57)</f>
        <v>0</v>
      </c>
      <c r="H59" s="131">
        <f t="shared" si="30"/>
        <v>0</v>
      </c>
      <c r="I59" s="131">
        <f t="shared" si="30"/>
        <v>0</v>
      </c>
      <c r="J59" s="132">
        <f t="shared" si="30"/>
        <v>0</v>
      </c>
      <c r="K59" s="131">
        <f t="shared" si="30"/>
        <v>0</v>
      </c>
      <c r="L59" s="131">
        <f t="shared" si="30"/>
        <v>0</v>
      </c>
      <c r="M59" s="131">
        <f t="shared" si="30"/>
        <v>0</v>
      </c>
      <c r="N59" s="133">
        <f t="shared" si="30"/>
        <v>22112.279919584405</v>
      </c>
      <c r="O59" s="131">
        <f t="shared" si="30"/>
        <v>22223.424343887018</v>
      </c>
      <c r="P59" s="131">
        <f t="shared" si="30"/>
        <v>22155.68575734851</v>
      </c>
      <c r="Q59" s="131">
        <f t="shared" si="30"/>
        <v>22178.44049239347</v>
      </c>
      <c r="R59" s="131">
        <f t="shared" si="30"/>
        <v>22406.751422067602</v>
      </c>
      <c r="S59" s="8"/>
      <c r="T59" s="131">
        <f t="shared" ref="T59:AA59" si="31">SUM(T51,T57)</f>
        <v>0</v>
      </c>
      <c r="U59" s="131">
        <f t="shared" si="31"/>
        <v>0</v>
      </c>
      <c r="V59" s="132">
        <f t="shared" si="31"/>
        <v>0</v>
      </c>
      <c r="W59" s="131">
        <f t="shared" si="31"/>
        <v>22112.279919584405</v>
      </c>
      <c r="X59" s="131">
        <f t="shared" si="31"/>
        <v>22406.751422067602</v>
      </c>
      <c r="Y59" s="131">
        <f t="shared" si="31"/>
        <v>22774.955653526056</v>
      </c>
      <c r="Z59" s="131">
        <f t="shared" si="31"/>
        <v>23022.270461255997</v>
      </c>
      <c r="AA59" s="131">
        <f t="shared" si="31"/>
        <v>23418.436013635102</v>
      </c>
      <c r="AB59" s="8"/>
      <c r="AC59" s="8"/>
      <c r="AD59" s="8"/>
      <c r="AE59" s="8"/>
    </row>
    <row r="60" ht="13.5" customHeight="1" spans="1:31" x14ac:dyDescent="0.25">
      <c r="A60" s="9"/>
      <c r="B60" s="8"/>
      <c r="C60" s="8"/>
      <c r="D60" s="8"/>
      <c r="E60" s="8"/>
      <c r="F60" s="8"/>
      <c r="G60" s="8"/>
      <c r="H60" s="8"/>
      <c r="I60" s="8"/>
      <c r="J60" s="115"/>
      <c r="K60" s="8"/>
      <c r="L60" s="8"/>
      <c r="M60" s="8"/>
      <c r="N60" s="116"/>
      <c r="O60" s="8"/>
      <c r="P60" s="8"/>
      <c r="Q60" s="8"/>
      <c r="R60" s="8"/>
      <c r="S60" s="8"/>
      <c r="T60" s="8"/>
      <c r="U60" s="8"/>
      <c r="V60" s="115"/>
      <c r="W60" s="8"/>
      <c r="X60" s="8"/>
      <c r="Y60" s="8"/>
      <c r="Z60" s="8"/>
      <c r="AA60" s="8"/>
      <c r="AB60" s="8"/>
      <c r="AC60" s="8"/>
      <c r="AD60" s="8"/>
      <c r="AE60" s="8"/>
    </row>
    <row r="61" ht="13.5" customHeight="1" spans="1:31" x14ac:dyDescent="0.25">
      <c r="A61" s="9"/>
      <c r="B61" s="8"/>
      <c r="C61" s="8" t="str">
        <f>Model!C150</f>
        <v>Common Stock &amp; APIC</v>
      </c>
      <c r="D61" s="8"/>
      <c r="E61" s="8"/>
      <c r="F61" s="8"/>
      <c r="G61" s="107">
        <f>Model!P150</f>
        <v>0</v>
      </c>
      <c r="H61" s="107">
        <f>Model!Q150</f>
        <v>0</v>
      </c>
      <c r="I61" s="107">
        <f>Model!R150</f>
        <v>0</v>
      </c>
      <c r="J61" s="108">
        <f>Model!S150</f>
        <v>0</v>
      </c>
      <c r="K61" s="107">
        <f>Model!U150</f>
        <v>0</v>
      </c>
      <c r="L61" s="107">
        <f>Model!V150</f>
        <v>0</v>
      </c>
      <c r="M61" s="107">
        <f>Model!W150</f>
        <v>0</v>
      </c>
      <c r="N61" s="109">
        <f>Model!X150</f>
        <v>0</v>
      </c>
      <c r="O61" s="107">
        <f>Model!Z150</f>
        <v>0</v>
      </c>
      <c r="P61" s="107">
        <f>Model!AA150</f>
        <v>0</v>
      </c>
      <c r="Q61" s="107">
        <f>Model!AB150</f>
        <v>0</v>
      </c>
      <c r="R61" s="107">
        <f>Model!AC150</f>
        <v>0</v>
      </c>
      <c r="S61" s="8"/>
      <c r="T61" s="107">
        <f>Model!J150</f>
        <v>0</v>
      </c>
      <c r="U61" s="107">
        <f>Model!O150</f>
        <v>0</v>
      </c>
      <c r="V61" s="108">
        <f>Model!T150</f>
        <v>0</v>
      </c>
      <c r="W61" s="107">
        <f>Model!Y150</f>
        <v>0</v>
      </c>
      <c r="X61" s="107">
        <f>Model!AD150</f>
        <v>0</v>
      </c>
      <c r="Y61" s="107">
        <f>Model!AE150</f>
        <v>0</v>
      </c>
      <c r="Z61" s="107">
        <f>Model!AF150</f>
        <v>0</v>
      </c>
      <c r="AA61" s="107">
        <f>Model!AG150</f>
        <v>0</v>
      </c>
      <c r="AB61" s="8"/>
      <c r="AC61" s="8"/>
      <c r="AD61" s="8"/>
      <c r="AE61" s="8"/>
    </row>
    <row r="62" ht="13.5" customHeight="1" spans="1:31" x14ac:dyDescent="0.25">
      <c r="A62" s="9"/>
      <c r="B62" s="8"/>
      <c r="C62" s="8" t="str">
        <f>Model!C151</f>
        <v>Retained Earnings</v>
      </c>
      <c r="D62" s="8"/>
      <c r="E62" s="8"/>
      <c r="F62" s="8"/>
      <c r="G62" s="127">
        <f>Model!P151</f>
        <v>0</v>
      </c>
      <c r="H62" s="127">
        <f>Model!Q151</f>
        <v>0</v>
      </c>
      <c r="I62" s="127">
        <f>Model!R151</f>
        <v>0</v>
      </c>
      <c r="J62" s="128">
        <f>Model!S151</f>
        <v>0</v>
      </c>
      <c r="K62" s="127">
        <f>Model!U151</f>
        <v>0</v>
      </c>
      <c r="L62" s="127">
        <f>Model!V151</f>
        <v>0</v>
      </c>
      <c r="M62" s="127">
        <f>Model!W151</f>
        <v>0</v>
      </c>
      <c r="N62" s="129">
        <f>Model!X151</f>
        <v>10689.851926340603</v>
      </c>
      <c r="O62" s="127">
        <f>Model!Z151</f>
        <v>11058.863651672915</v>
      </c>
      <c r="P62" s="127">
        <f>Model!AA151</f>
        <v>11298.256362259934</v>
      </c>
      <c r="Q62" s="127">
        <f>Model!AB151</f>
        <v>11347.836911538567</v>
      </c>
      <c r="R62" s="127">
        <f>Model!AC151</f>
        <v>11220.583903307761</v>
      </c>
      <c r="S62" s="8"/>
      <c r="T62" s="127">
        <f>Model!J151</f>
        <v>0</v>
      </c>
      <c r="U62" s="127">
        <f>Model!O151</f>
        <v>0</v>
      </c>
      <c r="V62" s="128">
        <f>Model!T151</f>
        <v>0</v>
      </c>
      <c r="W62" s="127">
        <f>Model!Y151</f>
        <v>10689.851926340603</v>
      </c>
      <c r="X62" s="127">
        <f>Model!AD151</f>
        <v>11220.583903307761</v>
      </c>
      <c r="Y62" s="127">
        <f>Model!AE151</f>
        <v>11877.461196958719</v>
      </c>
      <c r="Z62" s="127">
        <f>Model!AF151</f>
        <v>12435.566085232937</v>
      </c>
      <c r="AA62" s="127">
        <f>Model!AG151</f>
        <v>12945.801741276695</v>
      </c>
      <c r="AB62" s="8"/>
      <c r="AC62" s="8"/>
      <c r="AD62" s="8"/>
      <c r="AE62" s="8"/>
    </row>
    <row r="63" ht="13.5" customHeight="1" spans="1:31" x14ac:dyDescent="0.25">
      <c r="A63" s="9"/>
      <c r="B63" s="8"/>
      <c r="C63" s="8" t="str">
        <f>Model!C152</f>
        <v>Treasury Stock</v>
      </c>
      <c r="D63" s="8"/>
      <c r="E63" s="8"/>
      <c r="F63" s="8"/>
      <c r="G63" s="127">
        <f>Model!P152</f>
        <v>0</v>
      </c>
      <c r="H63" s="127">
        <f>Model!Q152</f>
        <v>0</v>
      </c>
      <c r="I63" s="127">
        <f>Model!R152</f>
        <v>0</v>
      </c>
      <c r="J63" s="128">
        <f>Model!S152</f>
        <v>0</v>
      </c>
      <c r="K63" s="127">
        <f>Model!U152</f>
        <v>0</v>
      </c>
      <c r="L63" s="127">
        <f>Model!V152</f>
        <v>0</v>
      </c>
      <c r="M63" s="127">
        <f>Model!W152</f>
        <v>0</v>
      </c>
      <c r="N63" s="129">
        <f>Model!X152</f>
        <v>0</v>
      </c>
      <c r="O63" s="127">
        <f>Model!Z152</f>
        <v>-550</v>
      </c>
      <c r="P63" s="127">
        <f>Model!AA152</f>
        <v>-550</v>
      </c>
      <c r="Q63" s="127">
        <f>Model!AB152</f>
        <v>-550</v>
      </c>
      <c r="R63" s="127">
        <f>Model!AC152</f>
        <v>-550</v>
      </c>
      <c r="S63" s="8"/>
      <c r="T63" s="127">
        <f>Model!J152</f>
        <v>0</v>
      </c>
      <c r="U63" s="127">
        <f>Model!O152</f>
        <v>0</v>
      </c>
      <c r="V63" s="128">
        <f>Model!T152</f>
        <v>0</v>
      </c>
      <c r="W63" s="127">
        <f>Model!Y152</f>
        <v>0</v>
      </c>
      <c r="X63" s="127">
        <f>Model!AD152</f>
        <v>-550</v>
      </c>
      <c r="Y63" s="127">
        <f>Model!AE152</f>
        <v>-1150</v>
      </c>
      <c r="Z63" s="127">
        <f>Model!AF152</f>
        <v>-1800</v>
      </c>
      <c r="AA63" s="127">
        <f>Model!AG152</f>
        <v>-2500</v>
      </c>
      <c r="AB63" s="8"/>
      <c r="AC63" s="8"/>
      <c r="AD63" s="8"/>
      <c r="AE63" s="8"/>
    </row>
    <row r="64" ht="13.5" customHeight="1" spans="1:31" x14ac:dyDescent="0.25">
      <c r="A64" s="9"/>
      <c r="B64" s="8"/>
      <c r="C64" s="8" t="str">
        <f>Model!C153</f>
        <v>Accumulated Other Comprehensive Income (AOCI)</v>
      </c>
      <c r="D64" s="8"/>
      <c r="E64" s="8"/>
      <c r="F64" s="8"/>
      <c r="G64" s="127">
        <f>Model!P153</f>
        <v>0</v>
      </c>
      <c r="H64" s="127">
        <f>Model!Q153</f>
        <v>0</v>
      </c>
      <c r="I64" s="127">
        <f>Model!R153</f>
        <v>0</v>
      </c>
      <c r="J64" s="128">
        <f>Model!S153</f>
        <v>0</v>
      </c>
      <c r="K64" s="127">
        <f>Model!U153</f>
        <v>0</v>
      </c>
      <c r="L64" s="127">
        <f>Model!V153</f>
        <v>0</v>
      </c>
      <c r="M64" s="127">
        <f>Model!W153</f>
        <v>0</v>
      </c>
      <c r="N64" s="129">
        <f>Model!X153</f>
        <v>0</v>
      </c>
      <c r="O64" s="127">
        <f>Model!Z153</f>
        <v>0</v>
      </c>
      <c r="P64" s="127">
        <f>Model!AA153</f>
        <v>0</v>
      </c>
      <c r="Q64" s="127">
        <f>Model!AB153</f>
        <v>0</v>
      </c>
      <c r="R64" s="127">
        <f>Model!AC153</f>
        <v>0</v>
      </c>
      <c r="S64" s="8"/>
      <c r="T64" s="127">
        <f>Model!J153</f>
        <v>0</v>
      </c>
      <c r="U64" s="127">
        <f>Model!O153</f>
        <v>0</v>
      </c>
      <c r="V64" s="128">
        <f>Model!T153</f>
        <v>0</v>
      </c>
      <c r="W64" s="127">
        <f>Model!Y153</f>
        <v>0</v>
      </c>
      <c r="X64" s="127">
        <f>Model!AD153</f>
        <v>0</v>
      </c>
      <c r="Y64" s="127">
        <f>Model!AE153</f>
        <v>0</v>
      </c>
      <c r="Z64" s="127">
        <f>Model!AF153</f>
        <v>0</v>
      </c>
      <c r="AA64" s="127">
        <f>Model!AG153</f>
        <v>0</v>
      </c>
      <c r="AB64" s="8"/>
      <c r="AC64" s="8"/>
      <c r="AD64" s="8"/>
      <c r="AE64" s="8"/>
    </row>
    <row r="65" ht="13.5" customHeight="1" spans="1:31" x14ac:dyDescent="0.25">
      <c r="A65" s="9"/>
      <c r="B65" s="8"/>
      <c r="C65" s="130" t="str">
        <f>Model!C154</f>
        <v>Total Shareholder's Equity</v>
      </c>
      <c r="D65" s="8"/>
      <c r="E65" s="8"/>
      <c r="F65" s="8"/>
      <c r="G65" s="131">
        <f t="shared" ref="G65:R65" si="32">SUM(G61:G64)</f>
        <v>0</v>
      </c>
      <c r="H65" s="131">
        <f t="shared" si="32"/>
        <v>0</v>
      </c>
      <c r="I65" s="131">
        <f t="shared" si="32"/>
        <v>0</v>
      </c>
      <c r="J65" s="132">
        <f t="shared" si="32"/>
        <v>0</v>
      </c>
      <c r="K65" s="131">
        <f t="shared" si="32"/>
        <v>0</v>
      </c>
      <c r="L65" s="131">
        <f t="shared" si="32"/>
        <v>0</v>
      </c>
      <c r="M65" s="131">
        <f t="shared" si="32"/>
        <v>0</v>
      </c>
      <c r="N65" s="133">
        <f t="shared" si="32"/>
        <v>11784.439733200441</v>
      </c>
      <c r="O65" s="131">
        <f t="shared" si="32"/>
        <v>11636.455086780148</v>
      </c>
      <c r="P65" s="131">
        <f t="shared" si="32"/>
        <v>11910.628430795387</v>
      </c>
      <c r="Q65" s="131">
        <f t="shared" si="32"/>
        <v>11994.842895721493</v>
      </c>
      <c r="R65" s="131">
        <f t="shared" si="32"/>
        <v>11901.835420255007</v>
      </c>
      <c r="S65" s="8"/>
      <c r="T65" s="131">
        <f t="shared" ref="T65:AA65" si="33">SUM(T61:T64)</f>
        <v>0</v>
      </c>
      <c r="U65" s="131">
        <f t="shared" si="33"/>
        <v>0</v>
      </c>
      <c r="V65" s="132">
        <f t="shared" si="33"/>
        <v>0</v>
      </c>
      <c r="W65" s="131">
        <f t="shared" si="33"/>
        <v>11784.439733200441</v>
      </c>
      <c r="X65" s="131">
        <f t="shared" si="33"/>
        <v>11901.835420255007</v>
      </c>
      <c r="Y65" s="131">
        <f t="shared" si="33"/>
        <v>12101.987398158642</v>
      </c>
      <c r="Z65" s="131">
        <f t="shared" si="33"/>
        <v>12160.643498947948</v>
      </c>
      <c r="AA65" s="131">
        <f t="shared" si="33"/>
        <v>12128.671778034986</v>
      </c>
      <c r="AB65" s="8"/>
      <c r="AC65" s="8"/>
      <c r="AD65" s="8"/>
      <c r="AE65" s="8"/>
    </row>
    <row r="66" ht="13.5" customHeight="1" spans="1:31" x14ac:dyDescent="0.25">
      <c r="A66" s="9"/>
      <c r="B66" s="8"/>
      <c r="C66" s="8"/>
      <c r="D66" s="8"/>
      <c r="E66" s="8"/>
      <c r="F66" s="8"/>
      <c r="G66" s="134"/>
      <c r="H66" s="134"/>
      <c r="I66" s="134"/>
      <c r="J66" s="135"/>
      <c r="K66" s="134"/>
      <c r="L66" s="134"/>
      <c r="M66" s="134"/>
      <c r="N66" s="136"/>
      <c r="O66" s="134"/>
      <c r="P66" s="134"/>
      <c r="Q66" s="134"/>
      <c r="R66" s="134"/>
      <c r="S66" s="8"/>
      <c r="T66" s="134"/>
      <c r="U66" s="134"/>
      <c r="V66" s="135"/>
      <c r="W66" s="134"/>
      <c r="X66" s="134"/>
      <c r="Y66" s="134"/>
      <c r="Z66" s="134"/>
      <c r="AA66" s="134"/>
      <c r="AB66" s="8"/>
      <c r="AC66" s="8"/>
      <c r="AD66" s="8"/>
      <c r="AE66" s="8"/>
    </row>
    <row r="67" ht="13.5" customHeight="1" spans="1:31" x14ac:dyDescent="0.25">
      <c r="A67" s="9"/>
      <c r="B67" s="8"/>
      <c r="C67" s="8" t="str">
        <f>Model!C156</f>
        <v>Noncontrolling Interests</v>
      </c>
      <c r="D67" s="8"/>
      <c r="E67" s="8"/>
      <c r="F67" s="8"/>
      <c r="G67" s="127">
        <f>Model!P156</f>
        <v>0</v>
      </c>
      <c r="H67" s="127">
        <f>Model!Q156</f>
        <v>0</v>
      </c>
      <c r="I67" s="127">
        <f>Model!R156</f>
        <v>0</v>
      </c>
      <c r="J67" s="128">
        <f>Model!S156</f>
        <v>0</v>
      </c>
      <c r="K67" s="127">
        <f>Model!U156</f>
        <v>0</v>
      </c>
      <c r="L67" s="127">
        <f>Model!V156</f>
        <v>0</v>
      </c>
      <c r="M67" s="127">
        <f>Model!W156</f>
        <v>0</v>
      </c>
      <c r="N67" s="129">
        <f>Model!X156</f>
        <v>0</v>
      </c>
      <c r="O67" s="127">
        <f>Model!Z156</f>
        <v>0</v>
      </c>
      <c r="P67" s="127">
        <f>Model!AA156</f>
        <v>0</v>
      </c>
      <c r="Q67" s="127">
        <f>Model!AB156</f>
        <v>0</v>
      </c>
      <c r="R67" s="127">
        <f>Model!AC156</f>
        <v>0</v>
      </c>
      <c r="S67" s="8"/>
      <c r="T67" s="127">
        <f>Model!J156</f>
        <v>0</v>
      </c>
      <c r="U67" s="127">
        <f>Model!O156</f>
        <v>0</v>
      </c>
      <c r="V67" s="128">
        <f>Model!T156</f>
        <v>0</v>
      </c>
      <c r="W67" s="127">
        <f>Model!Y156</f>
        <v>0</v>
      </c>
      <c r="X67" s="127">
        <f>Model!AD156</f>
        <v>0</v>
      </c>
      <c r="Y67" s="127">
        <f>Model!AE156</f>
        <v>0</v>
      </c>
      <c r="Z67" s="127">
        <f>Model!AF156</f>
        <v>0</v>
      </c>
      <c r="AA67" s="127">
        <f>Model!AG156</f>
        <v>0</v>
      </c>
      <c r="AB67" s="8"/>
      <c r="AC67" s="8"/>
      <c r="AD67" s="8"/>
      <c r="AE67" s="8"/>
    </row>
    <row r="68" ht="13.5" customHeight="1" spans="1:31" x14ac:dyDescent="0.25">
      <c r="A68" s="9"/>
      <c r="B68" s="8"/>
      <c r="C68" s="130" t="str">
        <f>Model!C157</f>
        <v>Total Equity</v>
      </c>
      <c r="D68" s="8"/>
      <c r="E68" s="8"/>
      <c r="F68" s="8"/>
      <c r="G68" s="131">
        <f t="shared" ref="G68:R68" si="34">SUM(G65,G67)</f>
        <v>0</v>
      </c>
      <c r="H68" s="131">
        <f t="shared" si="34"/>
        <v>0</v>
      </c>
      <c r="I68" s="131">
        <f t="shared" si="34"/>
        <v>0</v>
      </c>
      <c r="J68" s="132">
        <f t="shared" si="34"/>
        <v>0</v>
      </c>
      <c r="K68" s="131">
        <f t="shared" si="34"/>
        <v>0</v>
      </c>
      <c r="L68" s="131">
        <f t="shared" si="34"/>
        <v>0</v>
      </c>
      <c r="M68" s="131">
        <f t="shared" si="34"/>
        <v>0</v>
      </c>
      <c r="N68" s="133">
        <f t="shared" si="34"/>
        <v>11785.439733200441</v>
      </c>
      <c r="O68" s="131">
        <f t="shared" si="34"/>
        <v>11637.455086780148</v>
      </c>
      <c r="P68" s="131">
        <f t="shared" si="34"/>
        <v>11911.628430795387</v>
      </c>
      <c r="Q68" s="131">
        <f t="shared" si="34"/>
        <v>11995.842895721493</v>
      </c>
      <c r="R68" s="131">
        <f t="shared" si="34"/>
        <v>11902.835420255007</v>
      </c>
      <c r="S68" s="8"/>
      <c r="T68" s="131">
        <f t="shared" ref="T68:AA68" si="35">SUM(T65,T67)</f>
        <v>0</v>
      </c>
      <c r="U68" s="131">
        <f t="shared" si="35"/>
        <v>0</v>
      </c>
      <c r="V68" s="132">
        <f t="shared" si="35"/>
        <v>0</v>
      </c>
      <c r="W68" s="131">
        <f t="shared" si="35"/>
        <v>11785.439733200441</v>
      </c>
      <c r="X68" s="131">
        <f t="shared" si="35"/>
        <v>11902.835420255007</v>
      </c>
      <c r="Y68" s="131">
        <f t="shared" si="35"/>
        <v>12102.987398158642</v>
      </c>
      <c r="Z68" s="131">
        <f t="shared" si="35"/>
        <v>12161.643498947948</v>
      </c>
      <c r="AA68" s="131">
        <f t="shared" si="35"/>
        <v>12129.671778034986</v>
      </c>
      <c r="AB68" s="8"/>
      <c r="AC68" s="8"/>
      <c r="AD68" s="8"/>
      <c r="AE68" s="8"/>
    </row>
    <row r="69" ht="13.5" customHeight="1" spans="1:31" x14ac:dyDescent="0.25">
      <c r="A69" s="9"/>
      <c r="B69" s="8"/>
      <c r="C69" s="8"/>
      <c r="D69" s="8"/>
      <c r="E69" s="8"/>
      <c r="F69" s="8"/>
      <c r="G69" s="134"/>
      <c r="H69" s="134"/>
      <c r="I69" s="134"/>
      <c r="J69" s="135"/>
      <c r="K69" s="134"/>
      <c r="L69" s="134"/>
      <c r="M69" s="134"/>
      <c r="N69" s="136"/>
      <c r="O69" s="134"/>
      <c r="P69" s="134"/>
      <c r="Q69" s="134"/>
      <c r="R69" s="134"/>
      <c r="S69" s="8"/>
      <c r="T69" s="134"/>
      <c r="U69" s="134"/>
      <c r="V69" s="135"/>
      <c r="W69" s="134"/>
      <c r="X69" s="134"/>
      <c r="Y69" s="134"/>
      <c r="Z69" s="134"/>
      <c r="AA69" s="134"/>
      <c r="AB69" s="8"/>
      <c r="AC69" s="8"/>
      <c r="AD69" s="8"/>
      <c r="AE69" s="8"/>
    </row>
    <row r="70" ht="13.5" customHeight="1" spans="1:31" x14ac:dyDescent="0.25">
      <c r="A70" s="9"/>
      <c r="B70" s="8"/>
      <c r="C70" s="130" t="str">
        <f>Model!C159</f>
        <v>Total Liabilities &amp; Shareholder's Equity</v>
      </c>
      <c r="D70" s="8"/>
      <c r="E70" s="8"/>
      <c r="F70" s="8"/>
      <c r="G70" s="137">
        <f t="shared" ref="G70:R70" si="36">SUM(G59,G68)</f>
        <v>0</v>
      </c>
      <c r="H70" s="137">
        <f t="shared" si="36"/>
        <v>0</v>
      </c>
      <c r="I70" s="137">
        <f t="shared" si="36"/>
        <v>0</v>
      </c>
      <c r="J70" s="138">
        <f t="shared" si="36"/>
        <v>0</v>
      </c>
      <c r="K70" s="137">
        <f t="shared" si="36"/>
        <v>0</v>
      </c>
      <c r="L70" s="137">
        <f t="shared" si="36"/>
        <v>0</v>
      </c>
      <c r="M70" s="137">
        <f t="shared" si="36"/>
        <v>0</v>
      </c>
      <c r="N70" s="139">
        <f t="shared" si="36"/>
        <v>33897.71965278484</v>
      </c>
      <c r="O70" s="137">
        <f t="shared" si="36"/>
        <v>33860.87943066716</v>
      </c>
      <c r="P70" s="137">
        <f t="shared" si="36"/>
        <v>34067.31418814389</v>
      </c>
      <c r="Q70" s="137">
        <f t="shared" si="36"/>
        <v>34174.28338811496</v>
      </c>
      <c r="R70" s="137">
        <f t="shared" si="36"/>
        <v>34309.586842322606</v>
      </c>
      <c r="S70" s="140"/>
      <c r="T70" s="137">
        <f t="shared" ref="T70:AA70" si="37">SUM(T59,T68)</f>
        <v>0</v>
      </c>
      <c r="U70" s="137">
        <f t="shared" si="37"/>
        <v>0</v>
      </c>
      <c r="V70" s="138">
        <f t="shared" si="37"/>
        <v>0</v>
      </c>
      <c r="W70" s="137">
        <f t="shared" si="37"/>
        <v>33897.71965278484</v>
      </c>
      <c r="X70" s="137">
        <f t="shared" si="37"/>
        <v>34309.586842322606</v>
      </c>
      <c r="Y70" s="137">
        <f t="shared" si="37"/>
        <v>34877.9430516847</v>
      </c>
      <c r="Z70" s="137">
        <f t="shared" si="37"/>
        <v>35183.91396020394</v>
      </c>
      <c r="AA70" s="137">
        <f t="shared" si="37"/>
        <v>35548.10779167009</v>
      </c>
      <c r="AB70" s="8"/>
      <c r="AC70" s="8"/>
      <c r="AD70" s="8"/>
      <c r="AE70" s="8"/>
    </row>
    <row r="71" ht="4.5" customHeight="1" spans="1:31" x14ac:dyDescent="0.25">
      <c r="A71" s="9"/>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ht="13.5" customHeight="1" spans="1:31" x14ac:dyDescent="0.25">
      <c r="A72" s="9"/>
      <c r="B72" s="8"/>
      <c r="C72" s="101"/>
      <c r="D72" s="101"/>
      <c r="E72" s="101"/>
      <c r="F72" s="101"/>
      <c r="G72" s="102" t="str">
        <f>G$5</f>
        <v>Quarterly</v>
      </c>
      <c r="H72" s="103"/>
      <c r="I72" s="103"/>
      <c r="J72" s="103"/>
      <c r="K72" s="103"/>
      <c r="L72" s="103"/>
      <c r="M72" s="103"/>
      <c r="N72" s="103"/>
      <c r="O72" s="103"/>
      <c r="P72" s="103"/>
      <c r="Q72" s="103"/>
      <c r="R72" s="103"/>
      <c r="S72" s="103"/>
      <c r="T72" s="104" t="str">
        <f>T$31</f>
        <v>Annuals</v>
      </c>
      <c r="U72" s="105"/>
      <c r="V72" s="105"/>
      <c r="W72" s="105"/>
      <c r="X72" s="105"/>
      <c r="Y72" s="105"/>
      <c r="Z72" s="105"/>
      <c r="AA72" s="105"/>
      <c r="AB72" s="8"/>
      <c r="AC72" s="8"/>
      <c r="AD72" s="8"/>
      <c r="AE72" s="8"/>
    </row>
    <row r="73" ht="13.5" customHeight="1" spans="1:31" x14ac:dyDescent="0.25">
      <c r="A73" s="9" t="s">
        <v>3</v>
      </c>
      <c r="B73" s="8"/>
      <c r="C73" s="101" t="s">
        <v>107</v>
      </c>
      <c r="D73" s="101"/>
      <c r="E73" s="101"/>
      <c r="F73" s="101"/>
      <c r="G73" s="102" t="str">
        <f t="shared" ref="G73:R73" si="38">G$6</f>
        <v>1Q25</v>
      </c>
      <c r="H73" s="102" t="str">
        <f t="shared" si="38"/>
        <v>2Q25</v>
      </c>
      <c r="I73" s="102" t="str">
        <f t="shared" si="38"/>
        <v>3Q25</v>
      </c>
      <c r="J73" s="102" t="str">
        <f t="shared" si="38"/>
        <v>4Q25</v>
      </c>
      <c r="K73" s="102" t="str">
        <f t="shared" si="38"/>
        <v>1Q26e</v>
      </c>
      <c r="L73" s="102" t="str">
        <f t="shared" si="38"/>
        <v>2Q26e</v>
      </c>
      <c r="M73" s="102" t="str">
        <f t="shared" si="38"/>
        <v>3Q26</v>
      </c>
      <c r="N73" s="102" t="str">
        <f t="shared" si="38"/>
        <v>4Q26e</v>
      </c>
      <c r="O73" s="102" t="str">
        <f t="shared" si="38"/>
        <v>1Q27e</v>
      </c>
      <c r="P73" s="102" t="str">
        <f t="shared" si="38"/>
        <v>2Q27e</v>
      </c>
      <c r="Q73" s="102" t="str">
        <f t="shared" si="38"/>
        <v>3Q27e</v>
      </c>
      <c r="R73" s="102" t="str">
        <f t="shared" si="38"/>
        <v>4Q27e</v>
      </c>
      <c r="S73" s="102"/>
      <c r="T73" s="102">
        <f t="shared" ref="T73:AA73" si="39">T$6</f>
        <v>2023</v>
      </c>
      <c r="U73" s="102">
        <f t="shared" si="39"/>
        <v>2024</v>
      </c>
      <c r="V73" s="102">
        <f t="shared" si="39"/>
        <v>2025</v>
      </c>
      <c r="W73" s="102" t="str">
        <f t="shared" si="39"/>
        <v>2026e</v>
      </c>
      <c r="X73" s="102" t="str">
        <f t="shared" si="39"/>
        <v>2027e</v>
      </c>
      <c r="Y73" s="102" t="str">
        <f t="shared" si="39"/>
        <v>2028e</v>
      </c>
      <c r="Z73" s="102" t="str">
        <f t="shared" si="39"/>
        <v>2029e</v>
      </c>
      <c r="AA73" s="102" t="str">
        <f t="shared" si="39"/>
        <v>2030e</v>
      </c>
      <c r="AB73" s="8"/>
      <c r="AC73" s="8"/>
      <c r="AD73" s="8"/>
      <c r="AE73" s="8"/>
    </row>
    <row r="74" ht="4.5" customHeight="1" spans="1:31" x14ac:dyDescent="0.25">
      <c r="A74" s="9"/>
      <c r="B74" s="8"/>
      <c r="C74" s="40"/>
      <c r="D74" s="40"/>
      <c r="E74" s="40"/>
      <c r="F74" s="40"/>
      <c r="G74" s="142"/>
      <c r="H74" s="142"/>
      <c r="I74" s="142"/>
      <c r="J74" s="142"/>
      <c r="K74" s="142"/>
      <c r="L74" s="142"/>
      <c r="M74" s="142"/>
      <c r="N74" s="143"/>
      <c r="O74" s="143"/>
      <c r="P74" s="143"/>
      <c r="Q74" s="143"/>
      <c r="R74" s="143"/>
      <c r="S74" s="8"/>
      <c r="T74" s="8"/>
      <c r="U74" s="8"/>
      <c r="V74" s="8"/>
      <c r="W74" s="8"/>
      <c r="X74" s="8"/>
      <c r="Y74" s="8"/>
      <c r="Z74" s="8"/>
      <c r="AA74" s="8"/>
      <c r="AB74" s="8"/>
      <c r="AC74" s="8"/>
      <c r="AD74" s="8"/>
      <c r="AE74" s="8"/>
    </row>
    <row r="75" ht="13.5" customHeight="1" spans="1:31" x14ac:dyDescent="0.25">
      <c r="A75" s="9"/>
      <c r="B75" s="8"/>
      <c r="C75" s="122" t="s">
        <v>108</v>
      </c>
      <c r="D75" s="122"/>
      <c r="E75" s="122"/>
      <c r="F75" s="8"/>
      <c r="G75" s="8"/>
      <c r="H75" s="8"/>
      <c r="I75" s="8"/>
      <c r="J75" s="115"/>
      <c r="K75" s="8"/>
      <c r="L75" s="8"/>
      <c r="M75" s="8"/>
      <c r="N75" s="116"/>
      <c r="O75" s="8"/>
      <c r="P75" s="8"/>
      <c r="Q75" s="8"/>
      <c r="R75" s="8"/>
      <c r="S75" s="8"/>
      <c r="T75" s="8"/>
      <c r="U75" s="8"/>
      <c r="V75" s="115"/>
      <c r="W75" s="8"/>
      <c r="X75" s="8"/>
      <c r="Y75" s="8"/>
      <c r="Z75" s="8"/>
      <c r="AA75" s="8"/>
      <c r="AB75" s="8"/>
      <c r="AC75" s="8"/>
      <c r="AD75" s="8"/>
      <c r="AE75" s="8"/>
    </row>
    <row r="76" ht="13.5" customHeight="1" spans="1:31" x14ac:dyDescent="0.25">
      <c r="A76" s="9"/>
      <c r="B76" s="8"/>
      <c r="C76" s="130" t="s">
        <v>109</v>
      </c>
      <c r="D76" s="8"/>
      <c r="E76" s="8"/>
      <c r="F76" s="8"/>
      <c r="G76" s="144">
        <f t="shared" ref="G76:R76" si="40">G12</f>
        <v>1</v>
      </c>
      <c r="H76" s="144">
        <f t="shared" si="40"/>
        <v>1</v>
      </c>
      <c r="I76" s="144">
        <f t="shared" si="40"/>
        <v>1</v>
      </c>
      <c r="J76" s="145">
        <f t="shared" si="40"/>
        <v>1</v>
      </c>
      <c r="K76" s="144">
        <f t="shared" si="40"/>
        <v>1</v>
      </c>
      <c r="L76" s="144">
        <f t="shared" si="40"/>
        <v>1</v>
      </c>
      <c r="M76" s="144">
        <f t="shared" si="40"/>
        <v>1</v>
      </c>
      <c r="N76" s="146">
        <f t="shared" si="40"/>
        <v>0.42399999999999993</v>
      </c>
      <c r="O76" s="144">
        <f t="shared" si="40"/>
        <v>0.42799999999999994</v>
      </c>
      <c r="P76" s="144">
        <f t="shared" si="40"/>
        <v>0.42500000000000004</v>
      </c>
      <c r="Q76" s="144">
        <f t="shared" si="40"/>
        <v>0.428</v>
      </c>
      <c r="R76" s="144">
        <f t="shared" si="40"/>
        <v>0.42799999999999994</v>
      </c>
      <c r="S76" s="8"/>
      <c r="T76" s="144">
        <f t="shared" ref="T76:AA76" si="41">T12</f>
        <v>1</v>
      </c>
      <c r="U76" s="144">
        <f t="shared" si="41"/>
        <v>1</v>
      </c>
      <c r="V76" s="145">
        <f t="shared" si="41"/>
        <v>1</v>
      </c>
      <c r="W76" s="144">
        <f t="shared" si="41"/>
        <v>0.8525330584758063</v>
      </c>
      <c r="X76" s="144">
        <f t="shared" si="41"/>
        <v>0.42723650616379494</v>
      </c>
      <c r="Y76" s="144">
        <f t="shared" si="41"/>
        <v>0.431</v>
      </c>
      <c r="Z76" s="144">
        <f t="shared" si="41"/>
        <v>0.428</v>
      </c>
      <c r="AA76" s="144">
        <f t="shared" si="41"/>
        <v>0.4279999999999999</v>
      </c>
      <c r="AB76" s="8"/>
      <c r="AC76" s="8"/>
      <c r="AD76" s="8"/>
      <c r="AE76" s="8"/>
    </row>
    <row r="77" ht="13.5" customHeight="1" spans="1:31" x14ac:dyDescent="0.25">
      <c r="A77" s="9"/>
      <c r="B77" s="8"/>
      <c r="C77" s="130" t="s">
        <v>110</v>
      </c>
      <c r="D77" s="8"/>
      <c r="E77" s="8"/>
      <c r="F77" s="8"/>
      <c r="G77" s="144">
        <f t="shared" ref="G77:R77" si="42">G28</f>
        <v>1</v>
      </c>
      <c r="H77" s="144">
        <f t="shared" si="42"/>
        <v>1</v>
      </c>
      <c r="I77" s="144">
        <f t="shared" si="42"/>
        <v>1</v>
      </c>
      <c r="J77" s="145">
        <f t="shared" si="42"/>
        <v>1</v>
      </c>
      <c r="K77" s="144">
        <f t="shared" si="42"/>
        <v>1</v>
      </c>
      <c r="L77" s="144">
        <f t="shared" si="42"/>
        <v>1</v>
      </c>
      <c r="M77" s="144">
        <f t="shared" si="42"/>
        <v>1</v>
      </c>
      <c r="N77" s="146">
        <f t="shared" si="42"/>
        <v>0.31299999999999994</v>
      </c>
      <c r="O77" s="144">
        <f t="shared" si="42"/>
        <v>0.3149999999999999</v>
      </c>
      <c r="P77" s="144">
        <f t="shared" si="42"/>
        <v>0.318</v>
      </c>
      <c r="Q77" s="144">
        <f t="shared" si="42"/>
        <v>0.321</v>
      </c>
      <c r="R77" s="144">
        <f t="shared" si="42"/>
        <v>0.31799999999999995</v>
      </c>
      <c r="S77" s="8"/>
      <c r="T77" s="144">
        <f t="shared" ref="T77:AA77" si="43">T28</f>
        <v>1</v>
      </c>
      <c r="U77" s="144">
        <f t="shared" si="43"/>
        <v>1</v>
      </c>
      <c r="V77" s="145">
        <f t="shared" si="43"/>
        <v>1</v>
      </c>
      <c r="W77" s="144">
        <f t="shared" si="43"/>
        <v>0.3278122132398317</v>
      </c>
      <c r="X77" s="144">
        <f t="shared" si="43"/>
        <v>0.31803578757079776</v>
      </c>
      <c r="Y77" s="144">
        <f t="shared" si="43"/>
        <v>0.324</v>
      </c>
      <c r="Z77" s="144">
        <f t="shared" si="43"/>
        <v>0.32199999999999995</v>
      </c>
      <c r="AA77" s="144">
        <f t="shared" si="43"/>
        <v>0.32299999999999984</v>
      </c>
      <c r="AB77" s="8"/>
      <c r="AC77" s="8"/>
      <c r="AD77" s="8"/>
      <c r="AE77" s="8"/>
    </row>
    <row r="78" ht="13.5" customHeight="1" spans="1:31" x14ac:dyDescent="0.25">
      <c r="A78" s="9"/>
      <c r="B78" s="8"/>
      <c r="C78" s="130" t="s">
        <v>111</v>
      </c>
      <c r="D78" s="8"/>
      <c r="E78" s="8"/>
      <c r="F78" s="8"/>
      <c r="G78" s="144">
        <f t="shared" ref="G78:R78" si="44">G16</f>
        <v>1</v>
      </c>
      <c r="H78" s="144">
        <f t="shared" si="44"/>
        <v>1</v>
      </c>
      <c r="I78" s="144">
        <f t="shared" si="44"/>
        <v>1</v>
      </c>
      <c r="J78" s="145">
        <f t="shared" si="44"/>
        <v>1</v>
      </c>
      <c r="K78" s="144">
        <f t="shared" si="44"/>
        <v>1</v>
      </c>
      <c r="L78" s="144">
        <f t="shared" si="44"/>
        <v>1</v>
      </c>
      <c r="M78" s="144">
        <f t="shared" si="44"/>
        <v>1</v>
      </c>
      <c r="N78" s="146">
        <f t="shared" si="44"/>
        <v>0.20153175958085698</v>
      </c>
      <c r="O78" s="144">
        <f t="shared" si="44"/>
        <v>0.2036594875022987</v>
      </c>
      <c r="P78" s="144">
        <f t="shared" si="44"/>
        <v>0.21220993678667618</v>
      </c>
      <c r="Q78" s="144">
        <f t="shared" si="44"/>
        <v>0.2146043694575129</v>
      </c>
      <c r="R78" s="144">
        <f t="shared" si="44"/>
        <v>0.21015955184731944</v>
      </c>
      <c r="S78" s="8"/>
      <c r="T78" s="144">
        <f t="shared" ref="T78:AA78" si="45">T16</f>
        <v>1</v>
      </c>
      <c r="U78" s="144">
        <f t="shared" si="45"/>
        <v>1</v>
      </c>
      <c r="V78" s="145">
        <f t="shared" si="45"/>
        <v>1</v>
      </c>
      <c r="W78" s="144">
        <f t="shared" si="45"/>
        <v>0.22101088042289901</v>
      </c>
      <c r="X78" s="144">
        <f t="shared" si="45"/>
        <v>0.21023806148172267</v>
      </c>
      <c r="Y78" s="144">
        <f t="shared" si="45"/>
        <v>0.2194994476133936</v>
      </c>
      <c r="Z78" s="144">
        <f t="shared" si="45"/>
        <v>0.2171221679664297</v>
      </c>
      <c r="AA78" s="144">
        <f t="shared" si="45"/>
        <v>0.2178772265818916</v>
      </c>
      <c r="AB78" s="8"/>
      <c r="AC78" s="8"/>
      <c r="AD78" s="8"/>
      <c r="AE78" s="8"/>
    </row>
    <row r="79" ht="13.5" customHeight="1" spans="1:31" x14ac:dyDescent="0.25">
      <c r="A79" s="9"/>
      <c r="B79" s="8"/>
      <c r="C79" s="130" t="s">
        <v>112</v>
      </c>
      <c r="D79" s="8"/>
      <c r="E79" s="8"/>
      <c r="F79" s="8"/>
      <c r="G79" s="144">
        <f t="shared" ref="G79:R79" si="46">G20</f>
        <v>1</v>
      </c>
      <c r="H79" s="144">
        <f t="shared" si="46"/>
        <v>1</v>
      </c>
      <c r="I79" s="144">
        <f t="shared" si="46"/>
        <v>1</v>
      </c>
      <c r="J79" s="145">
        <f t="shared" si="46"/>
        <v>1</v>
      </c>
      <c r="K79" s="144">
        <f t="shared" si="46"/>
        <v>1</v>
      </c>
      <c r="L79" s="144">
        <f t="shared" si="46"/>
        <v>1</v>
      </c>
      <c r="M79" s="144">
        <f t="shared" si="46"/>
        <v>1</v>
      </c>
      <c r="N79" s="146">
        <f t="shared" si="46"/>
        <v>0.12778979053404577</v>
      </c>
      <c r="O79" s="144">
        <f t="shared" si="46"/>
        <v>0.13034075876552229</v>
      </c>
      <c r="P79" s="144">
        <f t="shared" si="46"/>
        <v>0.13880785231809717</v>
      </c>
      <c r="Q79" s="144">
        <f t="shared" si="46"/>
        <v>0.14166695309435456</v>
      </c>
      <c r="R79" s="144">
        <f t="shared" si="46"/>
        <v>0.13895459198266466</v>
      </c>
      <c r="S79" s="8"/>
      <c r="T79" s="144">
        <f t="shared" ref="T79:AA79" si="47">T20</f>
        <v>1</v>
      </c>
      <c r="U79" s="144">
        <f t="shared" si="47"/>
        <v>1</v>
      </c>
      <c r="V79" s="145">
        <f t="shared" si="47"/>
        <v>1</v>
      </c>
      <c r="W79" s="144">
        <f t="shared" si="47"/>
        <v>0.14984053900151112</v>
      </c>
      <c r="X79" s="144">
        <f t="shared" si="47"/>
        <v>0.1375244262005886</v>
      </c>
      <c r="Y79" s="144">
        <f t="shared" si="47"/>
        <v>0.14815846391492285</v>
      </c>
      <c r="Z79" s="144">
        <f t="shared" si="47"/>
        <v>0.14682583619955997</v>
      </c>
      <c r="AA79" s="144">
        <f t="shared" si="47"/>
        <v>0.14912122962516977</v>
      </c>
      <c r="AB79" s="8"/>
      <c r="AC79" s="8"/>
      <c r="AD79" s="8"/>
      <c r="AE79" s="8"/>
    </row>
    <row r="80" ht="13.5" customHeight="1" spans="1:31" x14ac:dyDescent="0.25">
      <c r="A80" s="9"/>
      <c r="B80" s="8"/>
      <c r="C80" s="130" t="s">
        <v>113</v>
      </c>
      <c r="D80" s="8"/>
      <c r="E80" s="8"/>
      <c r="F80" s="8"/>
      <c r="G80" s="144" t="e">
        <f t="shared" ref="G80:R80" si="48">G19/G46</f>
        <v>#DIV/0!</v>
      </c>
      <c r="H80" s="144" t="e">
        <f t="shared" si="48"/>
        <v>#DIV/0!</v>
      </c>
      <c r="I80" s="144" t="e">
        <f t="shared" si="48"/>
        <v>#DIV/0!</v>
      </c>
      <c r="J80" s="145" t="e">
        <f t="shared" si="48"/>
        <v>#DIV/0!</v>
      </c>
      <c r="K80" s="144" t="e">
        <f t="shared" si="48"/>
        <v>#DIV/0!</v>
      </c>
      <c r="L80" s="144" t="e">
        <f t="shared" si="48"/>
        <v>#DIV/0!</v>
      </c>
      <c r="M80" s="144" t="e">
        <f t="shared" si="48"/>
        <v>#DIV/0!</v>
      </c>
      <c r="N80" s="146">
        <f t="shared" si="48"/>
        <v>0.016722420627313005</v>
      </c>
      <c r="O80" s="144">
        <f t="shared" si="48"/>
        <v>0.016777819563002408</v>
      </c>
      <c r="P80" s="144">
        <f t="shared" si="48"/>
        <v>0.018715672948732606</v>
      </c>
      <c r="Q80" s="144">
        <f t="shared" si="48"/>
        <v>0.018961057410321176</v>
      </c>
      <c r="R80" s="144">
        <f t="shared" si="48"/>
        <v>0.018316950147413996</v>
      </c>
      <c r="S80" s="8"/>
      <c r="T80" s="144" t="e">
        <f t="shared" ref="T80:AA80" si="49">T19/T46</f>
        <v>#DIV/0!</v>
      </c>
      <c r="U80" s="144" t="e">
        <f t="shared" si="49"/>
        <v>#DIV/0!</v>
      </c>
      <c r="V80" s="145" t="e">
        <f t="shared" si="49"/>
        <v>#DIV/0!</v>
      </c>
      <c r="W80" s="144">
        <f t="shared" si="49"/>
        <v>0.07658789301855934</v>
      </c>
      <c r="X80" s="144">
        <f t="shared" si="49"/>
        <v>0.07234514330861382</v>
      </c>
      <c r="Y80" s="144">
        <f t="shared" si="49"/>
        <v>0.08037794228566307</v>
      </c>
      <c r="Z80" s="144">
        <f t="shared" si="49"/>
        <v>0.08297254511184285</v>
      </c>
      <c r="AA80" s="144">
        <f t="shared" si="49"/>
        <v>0.0874181285331858</v>
      </c>
      <c r="AB80" s="8"/>
      <c r="AC80" s="8"/>
      <c r="AD80" s="8"/>
      <c r="AE80" s="8"/>
    </row>
    <row r="81" ht="13.5" customHeight="1" spans="1:31" x14ac:dyDescent="0.25">
      <c r="A81" s="9"/>
      <c r="B81" s="8"/>
      <c r="C81" s="130" t="s">
        <v>114</v>
      </c>
      <c r="D81" s="8"/>
      <c r="E81" s="8"/>
      <c r="F81" s="8"/>
      <c r="G81" s="144" t="e">
        <f t="shared" ref="G81:R81" si="50">G19*4/G68</f>
        <v>#DIV/0!</v>
      </c>
      <c r="H81" s="144" t="e">
        <f t="shared" si="50"/>
        <v>#DIV/0!</v>
      </c>
      <c r="I81" s="144" t="e">
        <f t="shared" si="50"/>
        <v>#DIV/0!</v>
      </c>
      <c r="J81" s="145" t="e">
        <f t="shared" si="50"/>
        <v>#DIV/0!</v>
      </c>
      <c r="K81" s="144" t="e">
        <f t="shared" si="50"/>
        <v>#DIV/0!</v>
      </c>
      <c r="L81" s="144" t="e">
        <f t="shared" si="50"/>
        <v>#DIV/0!</v>
      </c>
      <c r="M81" s="144" t="e">
        <f t="shared" si="50"/>
        <v>#DIV/0!</v>
      </c>
      <c r="N81" s="146">
        <f t="shared" si="50"/>
        <v>0.19239059014276397</v>
      </c>
      <c r="O81" s="144">
        <f t="shared" si="50"/>
        <v>0.19527008992805442</v>
      </c>
      <c r="P81" s="144">
        <f t="shared" si="50"/>
        <v>0.21410765599055698</v>
      </c>
      <c r="Q81" s="144">
        <f t="shared" si="50"/>
        <v>0.21606836798762866</v>
      </c>
      <c r="R81" s="144">
        <f t="shared" si="50"/>
        <v>0.21119236537531844</v>
      </c>
      <c r="S81" s="8"/>
      <c r="T81" s="144" t="e">
        <f t="shared" ref="T81:AA81" si="51">T19/T68</f>
        <v>#DIV/0!</v>
      </c>
      <c r="U81" s="144" t="e">
        <f t="shared" si="51"/>
        <v>#DIV/0!</v>
      </c>
      <c r="V81" s="145" t="e">
        <f t="shared" si="51"/>
        <v>#DIV/0!</v>
      </c>
      <c r="W81" s="144">
        <f t="shared" si="51"/>
        <v>0.22028494355005232</v>
      </c>
      <c r="X81" s="144">
        <f t="shared" si="51"/>
        <v>0.2085328318278959</v>
      </c>
      <c r="Y81" s="144">
        <f t="shared" si="51"/>
        <v>0.231630191904312</v>
      </c>
      <c r="Z81" s="144">
        <f t="shared" si="51"/>
        <v>0.2400414786477465</v>
      </c>
      <c r="AA81" s="144">
        <f t="shared" si="51"/>
        <v>0.2561939937790455</v>
      </c>
      <c r="AB81" s="8"/>
      <c r="AC81" s="8"/>
      <c r="AD81" s="8"/>
      <c r="AE81" s="8"/>
    </row>
    <row r="82" ht="13.5" customHeight="1" spans="1:31" x14ac:dyDescent="0.25">
      <c r="A82" s="9"/>
      <c r="B82" s="8"/>
      <c r="C82" s="130" t="s">
        <v>115</v>
      </c>
      <c r="D82" s="8"/>
      <c r="E82" s="8"/>
      <c r="F82" s="8"/>
      <c r="G82" s="144" t="e">
        <f t="shared" ref="G82:S82" si="52">G19*4/(G53+G54+G68)</f>
        <v>#DIV/0!</v>
      </c>
      <c r="H82" s="144" t="e">
        <f t="shared" si="52"/>
        <v>#DIV/0!</v>
      </c>
      <c r="I82" s="144" t="e">
        <f t="shared" si="52"/>
        <v>#DIV/0!</v>
      </c>
      <c r="J82" s="145" t="e">
        <f t="shared" si="52"/>
        <v>#DIV/0!</v>
      </c>
      <c r="K82" s="144" t="e">
        <f t="shared" si="52"/>
        <v>#DIV/0!</v>
      </c>
      <c r="L82" s="144" t="e">
        <f t="shared" si="52"/>
        <v>#DIV/0!</v>
      </c>
      <c r="M82" s="144" t="e">
        <f t="shared" si="52"/>
        <v>#DIV/0!</v>
      </c>
      <c r="N82" s="146">
        <f t="shared" si="52"/>
        <v>0.09242201843984506</v>
      </c>
      <c r="O82" s="144">
        <f t="shared" si="52"/>
        <v>0.0822886119502694</v>
      </c>
      <c r="P82" s="144">
        <f t="shared" si="52"/>
        <v>0.10535400796825668</v>
      </c>
      <c r="Q82" s="144">
        <f t="shared" si="52"/>
        <v>0.106347283093784</v>
      </c>
      <c r="R82" s="144">
        <f t="shared" si="52"/>
        <v>0.10652467371534177</v>
      </c>
      <c r="S82" s="144" t="e">
        <f t="shared" si="52"/>
        <v>#DIV/0!</v>
      </c>
      <c r="T82" s="144" t="e">
        <f t="shared" ref="T82:AA82" si="53">T19/(T53+T54+T68)</f>
        <v>#DIV/0!</v>
      </c>
      <c r="U82" s="144" t="e">
        <f t="shared" si="53"/>
        <v>#DIV/0!</v>
      </c>
      <c r="V82" s="145" t="e">
        <f t="shared" si="53"/>
        <v>#DIV/0!</v>
      </c>
      <c r="W82" s="144">
        <f t="shared" si="53"/>
        <v>0.10582211479103827</v>
      </c>
      <c r="X82" s="144">
        <f t="shared" si="53"/>
        <v>0.1051832145064792</v>
      </c>
      <c r="Y82" s="144">
        <f t="shared" si="53"/>
        <v>0.11684763493991472</v>
      </c>
      <c r="Z82" s="144">
        <f t="shared" si="53"/>
        <v>0.12135223108082115</v>
      </c>
      <c r="AA82" s="144">
        <f t="shared" si="53"/>
        <v>0.12846772626269856</v>
      </c>
      <c r="AB82" s="8"/>
      <c r="AC82" s="8"/>
      <c r="AD82" s="8"/>
      <c r="AE82" s="8"/>
    </row>
    <row r="83" ht="13.5" customHeight="1" spans="1:31" x14ac:dyDescent="0.25">
      <c r="A83" s="9"/>
      <c r="B83" s="8"/>
      <c r="C83" s="8"/>
      <c r="D83" s="8"/>
      <c r="E83" s="8"/>
      <c r="F83" s="8"/>
      <c r="G83" s="8"/>
      <c r="H83" s="8"/>
      <c r="I83" s="8"/>
      <c r="J83" s="115"/>
      <c r="K83" s="8"/>
      <c r="L83" s="8"/>
      <c r="M83" s="8"/>
      <c r="N83" s="116"/>
      <c r="O83" s="8"/>
      <c r="P83" s="8"/>
      <c r="Q83" s="8"/>
      <c r="R83" s="8"/>
      <c r="S83" s="8"/>
      <c r="T83" s="8"/>
      <c r="U83" s="8"/>
      <c r="V83" s="115"/>
      <c r="W83" s="8"/>
      <c r="X83" s="8"/>
      <c r="Y83" s="8"/>
      <c r="Z83" s="8"/>
      <c r="AA83" s="8"/>
      <c r="AB83" s="8"/>
      <c r="AC83" s="8"/>
      <c r="AD83" s="8"/>
      <c r="AE83" s="8"/>
    </row>
    <row r="84" ht="13.5" customHeight="1" spans="1:31" x14ac:dyDescent="0.25">
      <c r="A84" s="9"/>
      <c r="B84" s="8"/>
      <c r="C84" s="122" t="s">
        <v>116</v>
      </c>
      <c r="D84" s="122"/>
      <c r="E84" s="122"/>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3.5" customHeight="1" spans="1:31" x14ac:dyDescent="0.25">
      <c r="A85" s="9"/>
      <c r="B85" s="8"/>
      <c r="C85" s="130" t="s">
        <v>117</v>
      </c>
      <c r="D85" s="8"/>
      <c r="E85" s="8"/>
      <c r="F85" s="8"/>
      <c r="G85" s="107">
        <f>-Model!P39</f>
        <v>0</v>
      </c>
      <c r="H85" s="107">
        <f>-Model!Q39</f>
        <v>0</v>
      </c>
      <c r="I85" s="107">
        <f>-Model!R39</f>
        <v>0</v>
      </c>
      <c r="J85" s="108">
        <f>-Model!S39</f>
        <v>0</v>
      </c>
      <c r="K85" s="107">
        <f>-Model!U39</f>
        <v>0</v>
      </c>
      <c r="L85" s="107">
        <f>-Model!V39</f>
        <v>0</v>
      </c>
      <c r="M85" s="107">
        <f>-Model!W39</f>
        <v>0</v>
      </c>
      <c r="N85" s="109">
        <f>-Model!X39</f>
        <v>1.2249999999999999</v>
      </c>
      <c r="O85" s="107">
        <f>-Model!Z39</f>
        <v>2.5</v>
      </c>
      <c r="P85" s="107">
        <f>-Model!AA39</f>
        <v>-0.5</v>
      </c>
      <c r="Q85" s="107">
        <f>-Model!AB39</f>
        <v>-6.5</v>
      </c>
      <c r="R85" s="107">
        <f>-Model!AC39</f>
        <v>-12.5</v>
      </c>
      <c r="S85" s="8"/>
      <c r="T85" s="107">
        <f>-Model!J39</f>
        <v>0</v>
      </c>
      <c r="U85" s="107">
        <f>-Model!O39</f>
        <v>0</v>
      </c>
      <c r="V85" s="108">
        <f>-Model!T39</f>
        <v>0</v>
      </c>
      <c r="W85" s="107">
        <f>-Model!Y39</f>
        <v>1.2249999999999999</v>
      </c>
      <c r="X85" s="107">
        <f>-Model!AD39</f>
        <v>-17</v>
      </c>
      <c r="Y85" s="107">
        <f>-Model!AE39</f>
        <v>-62</v>
      </c>
      <c r="Z85" s="107">
        <f>-Model!AF39</f>
        <v>-74</v>
      </c>
      <c r="AA85" s="107">
        <f>-Model!AG39</f>
        <v>-98</v>
      </c>
      <c r="AB85" s="8"/>
      <c r="AC85" s="8"/>
      <c r="AD85" s="8"/>
      <c r="AE85" s="8"/>
    </row>
    <row r="86" ht="13.5" customHeight="1" spans="1:31" x14ac:dyDescent="0.25">
      <c r="A86" s="9"/>
      <c r="B86" s="8"/>
      <c r="C86" s="130" t="s">
        <v>118</v>
      </c>
      <c r="D86" s="8"/>
      <c r="E86" s="8"/>
      <c r="F86" s="8"/>
      <c r="G86" s="127">
        <f>Model!P196</f>
        <v>0</v>
      </c>
      <c r="H86" s="127">
        <f>Model!Q196</f>
        <v>0</v>
      </c>
      <c r="I86" s="127">
        <f>Model!R196</f>
        <v>0</v>
      </c>
      <c r="J86" s="128">
        <f>Model!S196</f>
        <v>0</v>
      </c>
      <c r="K86" s="127">
        <f>Model!U196</f>
        <v>0</v>
      </c>
      <c r="L86" s="127">
        <f>Model!V196</f>
        <v>0</v>
      </c>
      <c r="M86" s="127">
        <f>Model!W196</f>
        <v>0</v>
      </c>
      <c r="N86" s="129">
        <f>Model!X196</f>
        <v>527.8620377467499</v>
      </c>
      <c r="O86" s="127">
        <f>Model!Z196</f>
        <v>483.81183375899997</v>
      </c>
      <c r="P86" s="127">
        <f>Model!AA196</f>
        <v>523.641622524</v>
      </c>
      <c r="Q86" s="127">
        <f>Model!AB196</f>
        <v>503.1368209999999</v>
      </c>
      <c r="R86" s="127">
        <f>Model!AC196</f>
        <v>529.153423344</v>
      </c>
      <c r="S86" s="8"/>
      <c r="T86" s="127">
        <f>Model!J196</f>
        <v>3807.2000000000003</v>
      </c>
      <c r="U86" s="127">
        <f>Model!O196</f>
        <v>0</v>
      </c>
      <c r="V86" s="128">
        <f>Model!T196</f>
        <v>0</v>
      </c>
      <c r="W86" s="127">
        <f>Model!Y196</f>
        <v>527.8620377467499</v>
      </c>
      <c r="X86" s="127">
        <f>Model!AD196</f>
        <v>2039.7437006269997</v>
      </c>
      <c r="Y86" s="127">
        <f>Model!AE196</f>
        <v>2054.90196135753</v>
      </c>
      <c r="Z86" s="127">
        <f>Model!AF196</f>
        <v>2115.5227836755053</v>
      </c>
      <c r="AA86" s="127">
        <f>Model!AG196</f>
        <v>2229.7814324122173</v>
      </c>
      <c r="AB86" s="8"/>
      <c r="AC86" s="8"/>
      <c r="AD86" s="8"/>
      <c r="AE86" s="8"/>
    </row>
    <row r="87" ht="13.5" customHeight="1" spans="1:31" x14ac:dyDescent="0.25">
      <c r="A87" s="9"/>
      <c r="B87" s="8"/>
      <c r="C87" s="130" t="s">
        <v>119</v>
      </c>
      <c r="D87" s="8"/>
      <c r="E87" s="8"/>
      <c r="F87" s="8"/>
      <c r="G87" s="147" t="str">
        <f t="shared" ref="G87:R87" si="54">IF(ISERROR(G15/G85),"N/A",(G15/G85))</f>
        <v>N/A</v>
      </c>
      <c r="H87" s="147" t="str">
        <f t="shared" si="54"/>
        <v>N/A</v>
      </c>
      <c r="I87" s="147" t="str">
        <f t="shared" si="54"/>
        <v>N/A</v>
      </c>
      <c r="J87" s="148" t="str">
        <f t="shared" si="54"/>
        <v>N/A</v>
      </c>
      <c r="K87" s="147" t="str">
        <f t="shared" si="54"/>
        <v>N/A</v>
      </c>
      <c r="L87" s="147" t="str">
        <f t="shared" si="54"/>
        <v>N/A</v>
      </c>
      <c r="M87" s="147" t="str">
        <f t="shared" si="54"/>
        <v>N/A</v>
      </c>
      <c r="N87" s="149">
        <f t="shared" si="54"/>
        <v>7.310480253034005</v>
      </c>
      <c r="O87" s="147">
        <f t="shared" si="54"/>
        <v>7.0434302508344055</v>
      </c>
      <c r="P87" s="147">
        <f t="shared" si="54"/>
        <v>7.922896826953531</v>
      </c>
      <c r="Q87" s="147">
        <f t="shared" si="54"/>
        <v>8.387543226799849</v>
      </c>
      <c r="R87" s="147">
        <f t="shared" si="54"/>
        <v>8.560606651197677</v>
      </c>
      <c r="S87" s="8"/>
      <c r="T87" s="147" t="str">
        <f t="shared" ref="T87:AA87" si="55">IF(ISERROR(T15/T85),"N/A",(T15/T85))</f>
        <v>N/A</v>
      </c>
      <c r="U87" s="147" t="str">
        <f t="shared" si="55"/>
        <v>N/A</v>
      </c>
      <c r="V87" s="148" t="str">
        <f t="shared" si="55"/>
        <v>N/A</v>
      </c>
      <c r="W87" s="147">
        <f t="shared" si="55"/>
        <v>6.958693888931089</v>
      </c>
      <c r="X87" s="147">
        <f t="shared" si="55"/>
        <v>7.95295911185366</v>
      </c>
      <c r="Y87" s="147">
        <f t="shared" si="55"/>
        <v>9.611481749784586</v>
      </c>
      <c r="Z87" s="147">
        <f t="shared" si="55"/>
        <v>10.275592875138116</v>
      </c>
      <c r="AA87" s="147">
        <f t="shared" si="55"/>
        <v>11.4620839521341</v>
      </c>
      <c r="AB87" s="8"/>
      <c r="AC87" s="8"/>
      <c r="AD87" s="8"/>
      <c r="AE87" s="8"/>
    </row>
    <row r="88" ht="13.5" customHeight="1" spans="1:31" x14ac:dyDescent="0.25">
      <c r="A88" s="9"/>
      <c r="B88" s="8"/>
      <c r="C88" s="130" t="s">
        <v>120</v>
      </c>
      <c r="D88" s="8"/>
      <c r="E88" s="8"/>
      <c r="F88" s="8"/>
      <c r="G88" s="147" t="str">
        <f t="shared" ref="G88:R88" si="56">IF(ISERROR(G27/G85),"N/A",(G27/G85))</f>
        <v>N/A</v>
      </c>
      <c r="H88" s="147" t="str">
        <f t="shared" si="56"/>
        <v>N/A</v>
      </c>
      <c r="I88" s="147" t="str">
        <f t="shared" si="56"/>
        <v>N/A</v>
      </c>
      <c r="J88" s="148" t="str">
        <f t="shared" si="56"/>
        <v>N/A</v>
      </c>
      <c r="K88" s="147" t="str">
        <f t="shared" si="56"/>
        <v>N/A</v>
      </c>
      <c r="L88" s="147" t="str">
        <f t="shared" si="56"/>
        <v>N/A</v>
      </c>
      <c r="M88" s="147" t="str">
        <f t="shared" si="56"/>
        <v>N/A</v>
      </c>
      <c r="N88" s="149">
        <f t="shared" si="56"/>
        <v>11.353944033231137</v>
      </c>
      <c r="O88" s="147">
        <f t="shared" si="56"/>
        <v>10.894069096524632</v>
      </c>
      <c r="P88" s="147">
        <f t="shared" si="56"/>
        <v>11.872588197902951</v>
      </c>
      <c r="Q88" s="147">
        <f t="shared" si="56"/>
        <v>12.54588330428095</v>
      </c>
      <c r="R88" s="147">
        <f t="shared" si="56"/>
        <v>12.953362772007562</v>
      </c>
      <c r="S88" s="8"/>
      <c r="T88" s="147" t="str">
        <f t="shared" ref="T88:AA88" si="57">IF(ISERROR(T27/T85),"N/A",(T27/T85))</f>
        <v>N/A</v>
      </c>
      <c r="U88" s="147" t="str">
        <f t="shared" si="57"/>
        <v>N/A</v>
      </c>
      <c r="V88" s="148" t="str">
        <f t="shared" si="57"/>
        <v>N/A</v>
      </c>
      <c r="W88" s="147">
        <f t="shared" si="57"/>
        <v>10.321414224603222</v>
      </c>
      <c r="X88" s="147">
        <f t="shared" si="57"/>
        <v>12.030769294724596</v>
      </c>
      <c r="Y88" s="147">
        <f t="shared" si="57"/>
        <v>14.187370951452843</v>
      </c>
      <c r="Z88" s="147">
        <f t="shared" si="57"/>
        <v>15.239074557813248</v>
      </c>
      <c r="AA88" s="147">
        <f t="shared" si="57"/>
        <v>16.99238224490516</v>
      </c>
      <c r="AB88" s="8"/>
      <c r="AC88" s="8"/>
      <c r="AD88" s="8"/>
      <c r="AE88" s="8"/>
    </row>
    <row r="89" ht="13.5" customHeight="1" spans="1:31" x14ac:dyDescent="0.25">
      <c r="A89" s="9"/>
      <c r="B89" s="8"/>
      <c r="C89" s="130" t="s">
        <v>121</v>
      </c>
      <c r="D89" s="8"/>
      <c r="E89" s="8"/>
      <c r="F89" s="8"/>
      <c r="G89" s="147" t="str">
        <f t="shared" ref="G89:R89" si="58">IF(ISERROR((G27-G86)/G85),"N/A",((G27-G86)/G85))</f>
        <v>N/A</v>
      </c>
      <c r="H89" s="147" t="str">
        <f t="shared" si="58"/>
        <v>N/A</v>
      </c>
      <c r="I89" s="147" t="str">
        <f t="shared" si="58"/>
        <v>N/A</v>
      </c>
      <c r="J89" s="148" t="str">
        <f t="shared" si="58"/>
        <v>N/A</v>
      </c>
      <c r="K89" s="147" t="str">
        <f t="shared" si="58"/>
        <v>N/A</v>
      </c>
      <c r="L89" s="147" t="str">
        <f t="shared" si="58"/>
        <v>N/A</v>
      </c>
      <c r="M89" s="147" t="str">
        <f t="shared" si="58"/>
        <v>N/A</v>
      </c>
      <c r="N89" s="149">
        <f t="shared" si="58"/>
        <v>7.037268825708756</v>
      </c>
      <c r="O89" s="147">
        <f t="shared" si="58"/>
        <v>7.05520665298738</v>
      </c>
      <c r="P89" s="147">
        <f t="shared" si="58"/>
        <v>7.61637733450378</v>
      </c>
      <c r="Q89" s="147">
        <f t="shared" si="58"/>
        <v>8.246670957019566</v>
      </c>
      <c r="R89" s="147">
        <f t="shared" si="58"/>
        <v>8.187502884193458</v>
      </c>
      <c r="S89" s="8"/>
      <c r="T89" s="147" t="str">
        <f t="shared" ref="T89:AA89" si="59">IF(ISERROR((T27-T86)/T85),"N/A",((T27-T86)/T85))</f>
        <v>N/A</v>
      </c>
      <c r="U89" s="147" t="str">
        <f t="shared" si="59"/>
        <v>N/A</v>
      </c>
      <c r="V89" s="148" t="str">
        <f t="shared" si="59"/>
        <v>N/A</v>
      </c>
      <c r="W89" s="147">
        <f t="shared" si="59"/>
        <v>4.573728050423562</v>
      </c>
      <c r="X89" s="147">
        <f t="shared" si="59"/>
        <v>7.755652551291078</v>
      </c>
      <c r="Y89" s="147">
        <f t="shared" si="59"/>
        <v>9.431974391799205</v>
      </c>
      <c r="Z89" s="147">
        <f t="shared" si="59"/>
        <v>10.203554269144522</v>
      </c>
      <c r="AA89" s="147">
        <f t="shared" si="59"/>
        <v>11.363326826314282</v>
      </c>
      <c r="AB89" s="8"/>
      <c r="AC89" s="8"/>
      <c r="AD89" s="8"/>
      <c r="AE89" s="8"/>
    </row>
    <row r="90" ht="13.5" customHeight="1" spans="1:31" x14ac:dyDescent="0.25">
      <c r="A90" s="9"/>
      <c r="B90" s="8"/>
      <c r="C90" s="8"/>
      <c r="D90" s="8"/>
      <c r="E90" s="8"/>
      <c r="F90" s="8"/>
      <c r="G90" s="8"/>
      <c r="H90" s="8"/>
      <c r="I90" s="8"/>
      <c r="J90" s="115"/>
      <c r="K90" s="8"/>
      <c r="L90" s="8"/>
      <c r="M90" s="8"/>
      <c r="N90" s="116"/>
      <c r="O90" s="8"/>
      <c r="P90" s="8"/>
      <c r="Q90" s="8"/>
      <c r="R90" s="8"/>
      <c r="S90" s="8"/>
      <c r="T90" s="8"/>
      <c r="U90" s="8"/>
      <c r="V90" s="115"/>
      <c r="W90" s="8"/>
      <c r="X90" s="8"/>
      <c r="Y90" s="8"/>
      <c r="Z90" s="8"/>
      <c r="AA90" s="8"/>
      <c r="AB90" s="8"/>
      <c r="AC90" s="8"/>
      <c r="AD90" s="8"/>
      <c r="AE90" s="8"/>
    </row>
    <row r="91" ht="13.5" customHeight="1" spans="1:31" x14ac:dyDescent="0.25">
      <c r="A91" s="9"/>
      <c r="B91" s="8"/>
      <c r="C91" s="122" t="s">
        <v>122</v>
      </c>
      <c r="D91" s="122"/>
      <c r="E91" s="122"/>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3.5" customHeight="1" spans="1:31" x14ac:dyDescent="0.25">
      <c r="A92" s="9"/>
      <c r="B92" s="8"/>
      <c r="C92" s="130" t="s">
        <v>123</v>
      </c>
      <c r="D92" s="8"/>
      <c r="E92" s="8"/>
      <c r="F92" s="8"/>
      <c r="G92" s="147">
        <f t="shared" ref="G92:R92" si="60">IF(ISERROR((G53+G54)/G27),"NA",((G53+G54)/G27))</f>
        <v>0</v>
      </c>
      <c r="H92" s="147">
        <f t="shared" si="60"/>
        <v>0</v>
      </c>
      <c r="I92" s="147">
        <f t="shared" si="60"/>
        <v>0</v>
      </c>
      <c r="J92" s="148">
        <f t="shared" si="60"/>
        <v>0</v>
      </c>
      <c r="K92" s="147">
        <f t="shared" si="60"/>
        <v>0</v>
      </c>
      <c r="L92" s="147">
        <f t="shared" si="60"/>
        <v>0</v>
      </c>
      <c r="M92" s="147">
        <f t="shared" si="60"/>
        <v>0</v>
      </c>
      <c r="N92" s="150">
        <f t="shared" si="60"/>
        <v>9.181550419105722</v>
      </c>
      <c r="O92" s="147">
        <f t="shared" si="60"/>
        <v>11.637547621809839</v>
      </c>
      <c r="P92" s="147">
        <f t="shared" si="60"/>
        <v>8.417972077877259</v>
      </c>
      <c r="Q92" s="147">
        <f t="shared" si="60"/>
        <v>8.429387417276748</v>
      </c>
      <c r="R92" s="147">
        <f t="shared" si="60"/>
        <v>8.131861889497424</v>
      </c>
      <c r="S92" s="147"/>
      <c r="T92" s="147">
        <f t="shared" ref="T92:AA92" si="61">IF(ISERROR((T53+T54)/T27),"NA",((T53+T54)/T27))</f>
        <v>0</v>
      </c>
      <c r="U92" s="147">
        <f t="shared" si="61"/>
        <v>0</v>
      </c>
      <c r="V92" s="148">
        <f t="shared" si="61"/>
        <v>0</v>
      </c>
      <c r="W92" s="147">
        <f t="shared" si="61"/>
        <v>2.244437005681869</v>
      </c>
      <c r="X92" s="147">
        <f t="shared" si="61"/>
        <v>2.037472904241434</v>
      </c>
      <c r="Y92" s="147">
        <f t="shared" si="61"/>
        <v>1.9392877678364144</v>
      </c>
      <c r="Z92" s="147">
        <f t="shared" si="61"/>
        <v>1.857906821040401</v>
      </c>
      <c r="AA92" s="147">
        <f t="shared" si="61"/>
        <v>1.7916542059373435</v>
      </c>
      <c r="AB92" s="8"/>
      <c r="AC92" s="8"/>
      <c r="AD92" s="8"/>
      <c r="AE92" s="8"/>
    </row>
    <row r="93" ht="13.5" customHeight="1" spans="1:31" x14ac:dyDescent="0.25">
      <c r="A93" s="9"/>
      <c r="B93" s="8"/>
      <c r="C93" s="130" t="s">
        <v>124</v>
      </c>
      <c r="D93" s="8"/>
      <c r="E93" s="8"/>
      <c r="F93" s="8"/>
      <c r="G93" s="147" t="str">
        <f t="shared" ref="G93:R93" si="62">IF(ISERROR((G53+G54)/G68),"NA",((G53+G54)/G68))</f>
        <v>NA</v>
      </c>
      <c r="H93" s="147" t="str">
        <f t="shared" si="62"/>
        <v>NA</v>
      </c>
      <c r="I93" s="147" t="str">
        <f t="shared" si="62"/>
        <v>NA</v>
      </c>
      <c r="J93" s="148" t="str">
        <f t="shared" si="62"/>
        <v>NA</v>
      </c>
      <c r="K93" s="147" t="str">
        <f t="shared" si="62"/>
        <v>NA</v>
      </c>
      <c r="L93" s="147" t="str">
        <f t="shared" si="62"/>
        <v>NA</v>
      </c>
      <c r="M93" s="147" t="str">
        <f t="shared" si="62"/>
        <v>NA</v>
      </c>
      <c r="N93" s="150">
        <f t="shared" si="62"/>
        <v>1.081653196829776</v>
      </c>
      <c r="O93" s="147">
        <f t="shared" si="62"/>
        <v>1.3729904454587794</v>
      </c>
      <c r="P93" s="147">
        <f t="shared" si="62"/>
        <v>1.0322687301565965</v>
      </c>
      <c r="Q93" s="147">
        <f t="shared" si="62"/>
        <v>1.0317243816852888</v>
      </c>
      <c r="R93" s="147">
        <f t="shared" si="62"/>
        <v>0.9825675874837466</v>
      </c>
      <c r="S93" s="147"/>
      <c r="T93" s="147" t="str">
        <f t="shared" ref="T93:AA93" si="63">IF(ISERROR((T53+T54)/T68),"NA",((T53+T54)/T68))</f>
        <v>NA</v>
      </c>
      <c r="U93" s="147" t="str">
        <f t="shared" si="63"/>
        <v>NA</v>
      </c>
      <c r="V93" s="148" t="str">
        <f t="shared" si="63"/>
        <v>NA</v>
      </c>
      <c r="W93" s="147">
        <f t="shared" si="63"/>
        <v>1.081653196829776</v>
      </c>
      <c r="X93" s="147">
        <f t="shared" si="63"/>
        <v>0.9825675874837466</v>
      </c>
      <c r="Y93" s="147">
        <f t="shared" si="63"/>
        <v>0.9823267456240827</v>
      </c>
      <c r="Z93" s="147">
        <f t="shared" si="63"/>
        <v>0.978055751508003</v>
      </c>
      <c r="AA93" s="147">
        <f t="shared" si="63"/>
        <v>0.9942284434548531</v>
      </c>
      <c r="AB93" s="8"/>
      <c r="AC93" s="8"/>
      <c r="AD93" s="8"/>
      <c r="AE93" s="8"/>
    </row>
    <row r="94" ht="13.5" customHeight="1" spans="1:31" x14ac:dyDescent="0.25">
      <c r="A94" s="9"/>
      <c r="B94" s="8"/>
      <c r="C94" s="130" t="s">
        <v>125</v>
      </c>
      <c r="D94" s="8"/>
      <c r="E94" s="8"/>
      <c r="F94" s="8"/>
      <c r="G94" s="147" t="str">
        <f t="shared" ref="G94:R94" si="64">IF(ISERROR((G53+G54)/G46),"NA",((G53+G54)/G46))</f>
        <v>NA</v>
      </c>
      <c r="H94" s="147" t="str">
        <f t="shared" si="64"/>
        <v>NA</v>
      </c>
      <c r="I94" s="147" t="str">
        <f t="shared" si="64"/>
        <v>NA</v>
      </c>
      <c r="J94" s="148" t="str">
        <f t="shared" si="64"/>
        <v>NA</v>
      </c>
      <c r="K94" s="147" t="str">
        <f t="shared" si="64"/>
        <v>NA</v>
      </c>
      <c r="L94" s="147" t="str">
        <f t="shared" si="64"/>
        <v>NA</v>
      </c>
      <c r="M94" s="147" t="str">
        <f t="shared" si="64"/>
        <v>NA</v>
      </c>
      <c r="N94" s="150">
        <f t="shared" si="64"/>
        <v>0.3760653723624041</v>
      </c>
      <c r="O94" s="147">
        <f t="shared" si="64"/>
        <v>0.4718753591831915</v>
      </c>
      <c r="P94" s="147">
        <f t="shared" si="64"/>
        <v>0.3609325198472388</v>
      </c>
      <c r="Q94" s="147">
        <f t="shared" si="64"/>
        <v>0.36215546801155024</v>
      </c>
      <c r="R94" s="147">
        <f t="shared" si="64"/>
        <v>0.3408767449414243</v>
      </c>
      <c r="S94" s="147"/>
      <c r="T94" s="147" t="str">
        <f t="shared" ref="T94:AA94" si="65">IF(ISERROR((T53+T54)/T46),"NA",((T53+T54)/T46))</f>
        <v>NA</v>
      </c>
      <c r="U94" s="147" t="str">
        <f t="shared" si="65"/>
        <v>NA</v>
      </c>
      <c r="V94" s="148" t="str">
        <f t="shared" si="65"/>
        <v>NA</v>
      </c>
      <c r="W94" s="147">
        <f t="shared" si="65"/>
        <v>0.3760653723624041</v>
      </c>
      <c r="X94" s="147">
        <f t="shared" si="65"/>
        <v>0.3408767449414243</v>
      </c>
      <c r="Y94" s="147">
        <f t="shared" si="65"/>
        <v>0.3408769893781964</v>
      </c>
      <c r="Z94" s="147">
        <f t="shared" si="65"/>
        <v>0.33807396713708326</v>
      </c>
      <c r="AA94" s="147">
        <f t="shared" si="65"/>
        <v>0.3392491314072109</v>
      </c>
      <c r="AB94" s="8"/>
      <c r="AC94" s="8"/>
      <c r="AD94" s="8"/>
      <c r="AE94" s="8"/>
    </row>
    <row r="95" ht="13.5" customHeight="1" spans="1:31" x14ac:dyDescent="0.25">
      <c r="A95" s="9"/>
      <c r="B95" s="8"/>
      <c r="C95" s="8"/>
      <c r="D95" s="8"/>
      <c r="E95" s="8"/>
      <c r="F95" s="8"/>
      <c r="G95" s="8"/>
      <c r="H95" s="8"/>
      <c r="I95" s="8"/>
      <c r="J95" s="115"/>
      <c r="K95" s="8"/>
      <c r="L95" s="8"/>
      <c r="M95" s="8"/>
      <c r="N95" s="116"/>
      <c r="O95" s="8"/>
      <c r="P95" s="8"/>
      <c r="Q95" s="8"/>
      <c r="R95" s="8"/>
      <c r="S95" s="8"/>
      <c r="T95" s="8"/>
      <c r="U95" s="8"/>
      <c r="V95" s="115"/>
      <c r="W95" s="8"/>
      <c r="X95" s="8"/>
      <c r="Y95" s="8"/>
      <c r="Z95" s="8"/>
      <c r="AA95" s="8"/>
      <c r="AB95" s="8"/>
      <c r="AC95" s="8"/>
      <c r="AD95" s="8"/>
      <c r="AE95" s="8"/>
    </row>
    <row r="96" ht="13.5" customHeight="1" spans="1:31" x14ac:dyDescent="0.25">
      <c r="A96" s="9"/>
      <c r="B96" s="8"/>
      <c r="C96" s="122" t="s">
        <v>126</v>
      </c>
      <c r="D96" s="122"/>
      <c r="E96" s="122"/>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3.5" customHeight="1" spans="1:31" x14ac:dyDescent="0.25">
      <c r="A97" s="9"/>
      <c r="B97" s="8"/>
      <c r="C97" s="130" t="s">
        <v>127</v>
      </c>
      <c r="D97" s="8"/>
      <c r="E97" s="8"/>
      <c r="F97" s="8"/>
      <c r="G97" s="147" t="e">
        <f t="shared" ref="G97:R97" si="66">G8/G46</f>
        <v>#DIV/0!</v>
      </c>
      <c r="H97" s="147" t="e">
        <f t="shared" si="66"/>
        <v>#DIV/0!</v>
      </c>
      <c r="I97" s="147" t="e">
        <f t="shared" si="66"/>
        <v>#DIV/0!</v>
      </c>
      <c r="J97" s="148" t="e">
        <f t="shared" si="66"/>
        <v>#DIV/0!</v>
      </c>
      <c r="K97" s="147" t="e">
        <f t="shared" si="66"/>
        <v>#DIV/0!</v>
      </c>
      <c r="L97" s="147" t="e">
        <f t="shared" si="66"/>
        <v>#DIV/0!</v>
      </c>
      <c r="M97" s="147" t="e">
        <f t="shared" si="66"/>
        <v>#DIV/0!</v>
      </c>
      <c r="N97" s="149">
        <f t="shared" si="66"/>
        <v>0.13085881553939802</v>
      </c>
      <c r="O97" s="151">
        <f t="shared" si="66"/>
        <v>0.1287227397009789</v>
      </c>
      <c r="P97" s="151">
        <f t="shared" si="66"/>
        <v>0.13483151447256084</v>
      </c>
      <c r="Q97" s="151">
        <f t="shared" si="66"/>
        <v>0.13384248758207237</v>
      </c>
      <c r="R97" s="151">
        <f t="shared" si="66"/>
        <v>0.13181968214263212</v>
      </c>
      <c r="S97" s="8"/>
      <c r="T97" s="151" t="e">
        <f t="shared" ref="T97:AA97" si="67">T8/T46</f>
        <v>#DIV/0!</v>
      </c>
      <c r="U97" s="151" t="e">
        <f t="shared" si="67"/>
        <v>#DIV/0!</v>
      </c>
      <c r="V97" s="152" t="e">
        <f t="shared" si="67"/>
        <v>#DIV/0!</v>
      </c>
      <c r="W97" s="151">
        <f t="shared" si="67"/>
        <v>0.5111293214033819</v>
      </c>
      <c r="X97" s="151">
        <f t="shared" si="67"/>
        <v>0.5260530460464788</v>
      </c>
      <c r="Y97" s="151">
        <f t="shared" si="67"/>
        <v>0.5425133344512708</v>
      </c>
      <c r="Z97" s="151">
        <f t="shared" si="67"/>
        <v>0.565108616163914</v>
      </c>
      <c r="AA97" s="151">
        <f t="shared" si="67"/>
        <v>0.5862218864002092</v>
      </c>
      <c r="AB97" s="8"/>
      <c r="AC97" s="8"/>
      <c r="AD97" s="8"/>
      <c r="AE97" s="8"/>
    </row>
    <row r="98" ht="13.5" customHeight="1" spans="1:31" x14ac:dyDescent="0.25">
      <c r="A98" s="9"/>
      <c r="B98" s="8"/>
      <c r="C98" s="130" t="str">
        <f>Model!C185</f>
        <v>Days Sales Outstanding</v>
      </c>
      <c r="D98" s="8"/>
      <c r="E98" s="8"/>
      <c r="F98" s="8"/>
      <c r="G98" s="153">
        <f>Model!P185</f>
        <v>0</v>
      </c>
      <c r="H98" s="153">
        <f>Model!Q185</f>
        <v>0</v>
      </c>
      <c r="I98" s="153">
        <f>Model!R185</f>
        <v>0</v>
      </c>
      <c r="J98" s="154">
        <f>Model!S185</f>
        <v>0</v>
      </c>
      <c r="K98" s="153">
        <f>Model!U185</f>
        <v>0</v>
      </c>
      <c r="L98" s="153">
        <f>Model!V185</f>
        <v>0</v>
      </c>
      <c r="M98" s="153">
        <f>Model!W185</f>
        <v>0</v>
      </c>
      <c r="N98" s="155">
        <f>Model!X185</f>
        <v>41.8</v>
      </c>
      <c r="O98" s="153">
        <f>Model!Z185</f>
        <v>41.2</v>
      </c>
      <c r="P98" s="153">
        <f>Model!AA185</f>
        <v>40.2</v>
      </c>
      <c r="Q98" s="153">
        <f>Model!AB185</f>
        <v>40.8</v>
      </c>
      <c r="R98" s="153">
        <f>Model!AC185</f>
        <v>41.3</v>
      </c>
      <c r="S98" s="153"/>
      <c r="T98" s="153">
        <f>Model!J185</f>
        <v>0</v>
      </c>
      <c r="U98" s="153">
        <f>Model!O185</f>
        <v>0</v>
      </c>
      <c r="V98" s="154">
        <f>Model!T185</f>
        <v>0</v>
      </c>
      <c r="W98" s="153">
        <f>Model!Y185</f>
        <v>21.228705529463138</v>
      </c>
      <c r="X98" s="153">
        <f>Model!AD185</f>
        <v>41.02031067985213</v>
      </c>
      <c r="Y98" s="153">
        <f>Model!AE185</f>
        <v>41.6</v>
      </c>
      <c r="Z98" s="153">
        <f>Model!AF185</f>
        <v>41</v>
      </c>
      <c r="AA98" s="153">
        <f>Model!AG185</f>
        <v>41</v>
      </c>
      <c r="AB98" s="8"/>
      <c r="AC98" s="8"/>
      <c r="AD98" s="8"/>
      <c r="AE98" s="8"/>
    </row>
    <row r="99" ht="13.5" customHeight="1" spans="1:31" x14ac:dyDescent="0.25">
      <c r="A99" s="9"/>
      <c r="B99" s="8"/>
      <c r="C99" s="130" t="str">
        <f>Model!C186</f>
        <v>Days Inventory Outstanding</v>
      </c>
      <c r="D99" s="8"/>
      <c r="E99" s="8"/>
      <c r="F99" s="8"/>
      <c r="G99" s="153" t="e">
        <f>Model!P186</f>
        <v>#DIV/0!</v>
      </c>
      <c r="H99" s="153" t="e">
        <f>Model!Q186</f>
        <v>#DIV/0!</v>
      </c>
      <c r="I99" s="153" t="e">
        <f>Model!R186</f>
        <v>#DIV/0!</v>
      </c>
      <c r="J99" s="154" t="e">
        <f>Model!S186</f>
        <v>#DIV/0!</v>
      </c>
      <c r="K99" s="153" t="e">
        <f>Model!U186</f>
        <v>#DIV/0!</v>
      </c>
      <c r="L99" s="153" t="e">
        <f>Model!V186</f>
        <v>#DIV/0!</v>
      </c>
      <c r="M99" s="153" t="e">
        <f>Model!W186</f>
        <v>#DIV/0!</v>
      </c>
      <c r="N99" s="155">
        <f>Model!X186</f>
        <v>0</v>
      </c>
      <c r="O99" s="153">
        <f>Model!Z186</f>
        <v>0</v>
      </c>
      <c r="P99" s="153">
        <f>Model!AA186</f>
        <v>0</v>
      </c>
      <c r="Q99" s="153">
        <f>Model!AB186</f>
        <v>0</v>
      </c>
      <c r="R99" s="153">
        <f>Model!AC186</f>
        <v>0</v>
      </c>
      <c r="S99" s="153"/>
      <c r="T99" s="153" t="e">
        <f>Model!J186</f>
        <v>#DIV/0!</v>
      </c>
      <c r="U99" s="153" t="e">
        <f>Model!O186</f>
        <v>#DIV/0!</v>
      </c>
      <c r="V99" s="154" t="e">
        <f>Model!T186</f>
        <v>#DIV/0!</v>
      </c>
      <c r="W99" s="153">
        <f>Model!Y186</f>
        <v>0</v>
      </c>
      <c r="X99" s="153">
        <f>Model!AD186</f>
        <v>0</v>
      </c>
      <c r="Y99" s="153">
        <f>Model!AE186</f>
        <v>0</v>
      </c>
      <c r="Z99" s="153">
        <f>Model!AF186</f>
        <v>0</v>
      </c>
      <c r="AA99" s="153">
        <f>Model!AG186</f>
        <v>0</v>
      </c>
      <c r="AB99" s="8"/>
      <c r="AC99" s="8"/>
      <c r="AD99" s="8"/>
      <c r="AE99" s="8"/>
    </row>
    <row r="100" ht="13.5" customHeight="1" spans="1:31" x14ac:dyDescent="0.25">
      <c r="A100" s="9"/>
      <c r="B100" s="8"/>
      <c r="C100" s="130" t="str">
        <f>Model!C187</f>
        <v>Days Payables Outstanding</v>
      </c>
      <c r="D100" s="8"/>
      <c r="E100" s="8"/>
      <c r="F100" s="8"/>
      <c r="G100" s="153" t="e">
        <f>Model!P187</f>
        <v>#DIV/0!</v>
      </c>
      <c r="H100" s="153" t="e">
        <f>Model!Q187</f>
        <v>#DIV/0!</v>
      </c>
      <c r="I100" s="153" t="e">
        <f>Model!R187</f>
        <v>#DIV/0!</v>
      </c>
      <c r="J100" s="154" t="e">
        <f>Model!S187</f>
        <v>#DIV/0!</v>
      </c>
      <c r="K100" s="153" t="e">
        <f>Model!U187</f>
        <v>#DIV/0!</v>
      </c>
      <c r="L100" s="153" t="e">
        <f>Model!V187</f>
        <v>#DIV/0!</v>
      </c>
      <c r="M100" s="153" t="e">
        <f>Model!W187</f>
        <v>#DIV/0!</v>
      </c>
      <c r="N100" s="155">
        <f>Model!X187</f>
        <v>47</v>
      </c>
      <c r="O100" s="153">
        <f>Model!Z187</f>
        <v>49</v>
      </c>
      <c r="P100" s="153">
        <f>Model!AA187</f>
        <v>48.5</v>
      </c>
      <c r="Q100" s="153">
        <f>Model!AB187</f>
        <v>48.5</v>
      </c>
      <c r="R100" s="153">
        <f>Model!AC187</f>
        <v>48</v>
      </c>
      <c r="S100" s="153"/>
      <c r="T100" s="153" t="e">
        <f>Model!J187</f>
        <v>#DIV/0!</v>
      </c>
      <c r="U100" s="153" t="e">
        <f>Model!O187</f>
        <v>#DIV/0!</v>
      </c>
      <c r="V100" s="154" t="e">
        <f>Model!T187</f>
        <v>#DIV/0!</v>
      </c>
      <c r="W100" s="153">
        <f>Model!Y187</f>
        <v>93.2336956521739</v>
      </c>
      <c r="X100" s="153">
        <f>Model!AD187</f>
        <v>46.99992364313107</v>
      </c>
      <c r="Y100" s="153">
        <f>Model!AE187</f>
        <v>47.5</v>
      </c>
      <c r="Z100" s="153">
        <f>Model!AF187</f>
        <v>47</v>
      </c>
      <c r="AA100" s="153">
        <f>Model!AG187</f>
        <v>47</v>
      </c>
      <c r="AB100" s="8"/>
      <c r="AC100" s="8"/>
      <c r="AD100" s="8"/>
      <c r="AE100" s="8"/>
    </row>
    <row r="101" ht="13.5" customHeight="1" spans="1:31" x14ac:dyDescent="0.25">
      <c r="A101" s="9"/>
      <c r="B101" s="8"/>
      <c r="C101" s="130" t="s">
        <v>128</v>
      </c>
      <c r="D101" s="8"/>
      <c r="E101" s="8"/>
      <c r="F101" s="8"/>
      <c r="G101" s="153" t="e">
        <f t="shared" ref="G101:R101" si="68">G98+G99-G100</f>
        <v>#DIV/0!</v>
      </c>
      <c r="H101" s="153" t="e">
        <f t="shared" si="68"/>
        <v>#DIV/0!</v>
      </c>
      <c r="I101" s="153" t="e">
        <f t="shared" si="68"/>
        <v>#DIV/0!</v>
      </c>
      <c r="J101" s="154" t="e">
        <f t="shared" si="68"/>
        <v>#DIV/0!</v>
      </c>
      <c r="K101" s="153" t="e">
        <f t="shared" si="68"/>
        <v>#DIV/0!</v>
      </c>
      <c r="L101" s="153" t="e">
        <f t="shared" si="68"/>
        <v>#DIV/0!</v>
      </c>
      <c r="M101" s="153" t="e">
        <f t="shared" si="68"/>
        <v>#DIV/0!</v>
      </c>
      <c r="N101" s="155">
        <f t="shared" si="68"/>
        <v>-5.200000000000003</v>
      </c>
      <c r="O101" s="153">
        <f t="shared" si="68"/>
        <v>-7.799999999999997</v>
      </c>
      <c r="P101" s="153">
        <f t="shared" si="68"/>
        <v>-8.299999999999997</v>
      </c>
      <c r="Q101" s="153">
        <f t="shared" si="68"/>
        <v>-7.700000000000003</v>
      </c>
      <c r="R101" s="153">
        <f t="shared" si="68"/>
        <v>-6.700000000000003</v>
      </c>
      <c r="S101" s="153"/>
      <c r="T101" s="153" t="e">
        <f t="shared" ref="T101:AA101" si="69">T98+T99-T100</f>
        <v>#DIV/0!</v>
      </c>
      <c r="U101" s="153" t="e">
        <f t="shared" si="69"/>
        <v>#DIV/0!</v>
      </c>
      <c r="V101" s="154" t="e">
        <f t="shared" si="69"/>
        <v>#DIV/0!</v>
      </c>
      <c r="W101" s="153">
        <f t="shared" si="69"/>
        <v>-72.00499012271077</v>
      </c>
      <c r="X101" s="153">
        <f t="shared" si="69"/>
        <v>-5.979612963278939</v>
      </c>
      <c r="Y101" s="153">
        <f t="shared" si="69"/>
        <v>-5.899999999999999</v>
      </c>
      <c r="Z101" s="153">
        <f t="shared" si="69"/>
        <v>-6</v>
      </c>
      <c r="AA101" s="153">
        <f t="shared" si="69"/>
        <v>-6</v>
      </c>
      <c r="AB101" s="8"/>
      <c r="AC101" s="8"/>
      <c r="AD101" s="8"/>
      <c r="AE101" s="8"/>
    </row>
    <row r="102" ht="13.5" customHeight="1" spans="1:31" x14ac:dyDescent="0.25">
      <c r="A102" s="9"/>
      <c r="B102" s="8"/>
      <c r="C102" s="8"/>
      <c r="D102" s="8"/>
      <c r="E102" s="8"/>
      <c r="F102" s="8"/>
      <c r="G102" s="8"/>
      <c r="H102" s="8"/>
      <c r="I102" s="8"/>
      <c r="J102" s="115"/>
      <c r="K102" s="8"/>
      <c r="L102" s="8"/>
      <c r="M102" s="8"/>
      <c r="N102" s="116"/>
      <c r="O102" s="8"/>
      <c r="P102" s="8"/>
      <c r="Q102" s="8"/>
      <c r="R102" s="8"/>
      <c r="S102" s="8"/>
      <c r="T102" s="8"/>
      <c r="U102" s="8"/>
      <c r="V102" s="115"/>
      <c r="W102" s="8"/>
      <c r="X102" s="8"/>
      <c r="Y102" s="8"/>
      <c r="Z102" s="8"/>
      <c r="AA102" s="8"/>
      <c r="AB102" s="8"/>
      <c r="AC102" s="8"/>
      <c r="AD102" s="8"/>
      <c r="AE102" s="8"/>
    </row>
    <row r="103" ht="13.5" customHeight="1" spans="1:31" x14ac:dyDescent="0.25">
      <c r="A103" s="9"/>
      <c r="B103" s="8"/>
      <c r="C103" s="122" t="s">
        <v>129</v>
      </c>
      <c r="D103" s="122"/>
      <c r="E103" s="122"/>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3.5" customHeight="1" spans="1:31" x14ac:dyDescent="0.25">
      <c r="A104" s="9"/>
      <c r="B104" s="8"/>
      <c r="C104" s="130" t="s">
        <v>130</v>
      </c>
      <c r="D104" s="8"/>
      <c r="E104" s="8"/>
      <c r="F104" s="8"/>
      <c r="G104" s="147" t="str">
        <f t="shared" ref="G104:R104" si="70">IF(ISERROR(G38/G51),"NA",(G38/G51))</f>
        <v>NA</v>
      </c>
      <c r="H104" s="147" t="str">
        <f t="shared" si="70"/>
        <v>NA</v>
      </c>
      <c r="I104" s="147" t="str">
        <f t="shared" si="70"/>
        <v>NA</v>
      </c>
      <c r="J104" s="148" t="str">
        <f t="shared" si="70"/>
        <v>NA</v>
      </c>
      <c r="K104" s="147" t="str">
        <f t="shared" si="70"/>
        <v>NA</v>
      </c>
      <c r="L104" s="147" t="str">
        <f t="shared" si="70"/>
        <v>NA</v>
      </c>
      <c r="M104" s="147" t="str">
        <f t="shared" si="70"/>
        <v>NA</v>
      </c>
      <c r="N104" s="149">
        <f t="shared" si="70"/>
        <v>0.5938130931052191</v>
      </c>
      <c r="O104" s="151">
        <f t="shared" si="70"/>
        <v>0.5648142703022342</v>
      </c>
      <c r="P104" s="151">
        <f t="shared" si="70"/>
        <v>0.5524909071043245</v>
      </c>
      <c r="Q104" s="151">
        <f t="shared" si="70"/>
        <v>0.5590432100097549</v>
      </c>
      <c r="R104" s="151">
        <f t="shared" si="70"/>
        <v>0.5664292955911593</v>
      </c>
      <c r="S104" s="8"/>
      <c r="T104" s="151" t="str">
        <f t="shared" ref="T104:AA104" si="71">IF(ISERROR(T38/T51),"NA",(T38/T51))</f>
        <v>NA</v>
      </c>
      <c r="U104" s="151" t="str">
        <f t="shared" si="71"/>
        <v>NA</v>
      </c>
      <c r="V104" s="152" t="str">
        <f t="shared" si="71"/>
        <v>NA</v>
      </c>
      <c r="W104" s="151">
        <f t="shared" si="71"/>
        <v>0.5938130931052191</v>
      </c>
      <c r="X104" s="151">
        <f t="shared" si="71"/>
        <v>0.5664292955911593</v>
      </c>
      <c r="Y104" s="151">
        <f t="shared" si="71"/>
        <v>0.6179109613085634</v>
      </c>
      <c r="Z104" s="151">
        <f t="shared" si="71"/>
        <v>0.6098641559174278</v>
      </c>
      <c r="AA104" s="151">
        <f t="shared" si="71"/>
        <v>0.6098641559174278</v>
      </c>
      <c r="AB104" s="8"/>
      <c r="AC104" s="8"/>
      <c r="AD104" s="8"/>
      <c r="AE104" s="8"/>
    </row>
    <row r="105" ht="13.5" customHeight="1" spans="1:31" x14ac:dyDescent="0.25">
      <c r="A105" s="9"/>
      <c r="B105" s="8"/>
      <c r="C105" s="130" t="s">
        <v>131</v>
      </c>
      <c r="D105" s="8"/>
      <c r="E105" s="8"/>
      <c r="F105" s="8"/>
      <c r="G105" s="147" t="str">
        <f t="shared" ref="G105:R105" si="72">IF(ISERROR((G34+G35)/G51),"NA",((G34+G35)/G51))</f>
        <v>NA</v>
      </c>
      <c r="H105" s="147" t="str">
        <f t="shared" si="72"/>
        <v>NA</v>
      </c>
      <c r="I105" s="147" t="str">
        <f t="shared" si="72"/>
        <v>NA</v>
      </c>
      <c r="J105" s="148" t="str">
        <f t="shared" si="72"/>
        <v>NA</v>
      </c>
      <c r="K105" s="147" t="str">
        <f t="shared" si="72"/>
        <v>NA</v>
      </c>
      <c r="L105" s="147" t="str">
        <f t="shared" si="72"/>
        <v>NA</v>
      </c>
      <c r="M105" s="147" t="str">
        <f t="shared" si="72"/>
        <v>NA</v>
      </c>
      <c r="N105" s="149">
        <f t="shared" si="72"/>
        <v>0.48575226100067115</v>
      </c>
      <c r="O105" s="151">
        <f t="shared" si="72"/>
        <v>0.47507988408543594</v>
      </c>
      <c r="P105" s="151">
        <f t="shared" si="72"/>
        <v>0.46293770022053676</v>
      </c>
      <c r="Q105" s="151">
        <f t="shared" si="72"/>
        <v>0.4687141175618561</v>
      </c>
      <c r="R105" s="151">
        <f t="shared" si="72"/>
        <v>0.47581104271107494</v>
      </c>
      <c r="S105" s="8"/>
      <c r="T105" s="151" t="str">
        <f t="shared" ref="T105:AA105" si="73">IF(ISERROR((T34+T35)/T51),"NA",((T34+T35)/T51))</f>
        <v>NA</v>
      </c>
      <c r="U105" s="151" t="str">
        <f t="shared" si="73"/>
        <v>NA</v>
      </c>
      <c r="V105" s="152" t="str">
        <f t="shared" si="73"/>
        <v>NA</v>
      </c>
      <c r="W105" s="151">
        <f t="shared" si="73"/>
        <v>0.48575226100067115</v>
      </c>
      <c r="X105" s="151">
        <f t="shared" si="73"/>
        <v>0.47581104271107494</v>
      </c>
      <c r="Y105" s="151">
        <f t="shared" si="73"/>
        <v>0.5267509714394694</v>
      </c>
      <c r="Z105" s="151">
        <f t="shared" si="73"/>
        <v>0.5188884476777704</v>
      </c>
      <c r="AA105" s="151">
        <f t="shared" si="73"/>
        <v>0.5188884476777703</v>
      </c>
      <c r="AB105" s="8"/>
      <c r="AC105" s="8"/>
      <c r="AD105" s="8"/>
      <c r="AE105" s="8"/>
    </row>
    <row r="106" ht="13.5" customHeight="1" spans="1:31" x14ac:dyDescent="0.25">
      <c r="A106" s="9"/>
      <c r="B106" s="8"/>
      <c r="C106" s="130" t="s">
        <v>132</v>
      </c>
      <c r="D106" s="8"/>
      <c r="E106" s="8"/>
      <c r="F106" s="8"/>
      <c r="G106" s="147" t="str">
        <f t="shared" ref="G106:R106" si="74">IF(ISERROR(G34/G51),"NA",(G34/G51))</f>
        <v>NA</v>
      </c>
      <c r="H106" s="147" t="str">
        <f t="shared" si="74"/>
        <v>NA</v>
      </c>
      <c r="I106" s="147" t="str">
        <f t="shared" si="74"/>
        <v>NA</v>
      </c>
      <c r="J106" s="148" t="str">
        <f t="shared" si="74"/>
        <v>NA</v>
      </c>
      <c r="K106" s="147" t="str">
        <f t="shared" si="74"/>
        <v>NA</v>
      </c>
      <c r="L106" s="147" t="str">
        <f t="shared" si="74"/>
        <v>NA</v>
      </c>
      <c r="M106" s="147" t="str">
        <f t="shared" si="74"/>
        <v>NA</v>
      </c>
      <c r="N106" s="149">
        <f t="shared" si="74"/>
        <v>0.013663759540585085</v>
      </c>
      <c r="O106" s="151">
        <f t="shared" si="74"/>
        <v>0.013409465487522778</v>
      </c>
      <c r="P106" s="151">
        <f t="shared" si="74"/>
        <v>0.013382390938785285</v>
      </c>
      <c r="Q106" s="151">
        <f t="shared" si="74"/>
        <v>0.013498335462761597</v>
      </c>
      <c r="R106" s="151">
        <f t="shared" si="74"/>
        <v>0.013541546176059209</v>
      </c>
      <c r="S106" s="8"/>
      <c r="T106" s="151" t="str">
        <f t="shared" ref="T106:AA106" si="75">IF(ISERROR(T34/T51),"NA",(T34/T51))</f>
        <v>NA</v>
      </c>
      <c r="U106" s="151" t="str">
        <f t="shared" si="75"/>
        <v>NA</v>
      </c>
      <c r="V106" s="152" t="str">
        <f t="shared" si="75"/>
        <v>NA</v>
      </c>
      <c r="W106" s="151">
        <f t="shared" si="75"/>
        <v>0.013663759540585085</v>
      </c>
      <c r="X106" s="151">
        <f t="shared" si="75"/>
        <v>0.013541546176059209</v>
      </c>
      <c r="Y106" s="151">
        <f t="shared" si="75"/>
        <v>0.05449000275275558</v>
      </c>
      <c r="Z106" s="151">
        <f t="shared" si="75"/>
        <v>0.05437985019010495</v>
      </c>
      <c r="AA106" s="151">
        <f t="shared" si="75"/>
        <v>0.05437985019010495</v>
      </c>
      <c r="AB106" s="8"/>
      <c r="AC106" s="8"/>
      <c r="AD106" s="8"/>
      <c r="AE106" s="8"/>
    </row>
    <row r="107" ht="13.5" customHeight="1" spans="1:31"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ht="13.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3.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3.5" customHeight="1" spans="1:31" x14ac:dyDescent="0.25">
      <c r="A110" s="9" t="s">
        <v>3</v>
      </c>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3.5" customHeight="1" spans="1:31" x14ac:dyDescent="0.25">
      <c r="A111" s="156"/>
      <c r="B111" s="4"/>
      <c r="C111" s="4"/>
      <c r="D111" s="4"/>
      <c r="E111" s="4"/>
      <c r="F111" s="4"/>
      <c r="G111" s="4"/>
      <c r="H111" s="4"/>
      <c r="I111" s="4"/>
      <c r="J111" s="157"/>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56"/>
      <c r="B112" s="4"/>
      <c r="C112" s="4"/>
      <c r="D112" s="157"/>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56"/>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56"/>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56"/>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56"/>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56"/>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56"/>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56"/>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56"/>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56"/>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56"/>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56"/>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56"/>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56"/>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5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56"/>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56"/>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56"/>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56"/>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56"/>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56"/>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56"/>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56"/>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56"/>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5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56"/>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56"/>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56"/>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56"/>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56"/>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56"/>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56"/>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56"/>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56"/>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5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56"/>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56"/>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56"/>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56"/>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56"/>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56"/>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56"/>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56"/>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56"/>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56"/>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56"/>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56"/>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56"/>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56"/>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56"/>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56"/>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56"/>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56"/>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5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56"/>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56"/>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56"/>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56"/>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56"/>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56"/>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56"/>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56"/>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56"/>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5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56"/>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56"/>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56"/>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56"/>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56"/>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56"/>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56"/>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56"/>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56"/>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5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56"/>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56"/>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56"/>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56"/>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56"/>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56"/>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56"/>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56"/>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56"/>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5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56"/>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56"/>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56"/>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56"/>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56"/>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56"/>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56"/>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56"/>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56"/>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5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56"/>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56"/>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56"/>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56"/>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56"/>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56"/>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56"/>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56"/>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56"/>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5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56"/>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56"/>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56"/>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56"/>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56"/>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56"/>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56"/>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56"/>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56"/>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5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56"/>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56"/>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56"/>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56"/>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56"/>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56"/>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56"/>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56"/>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56"/>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5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56"/>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56"/>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56"/>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56"/>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56"/>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56"/>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56"/>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56"/>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56"/>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5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56"/>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56"/>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56"/>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56"/>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56"/>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56"/>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56"/>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56"/>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56"/>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56"/>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56"/>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56"/>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56"/>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56"/>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56"/>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56"/>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56"/>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56"/>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5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56"/>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56"/>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56"/>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56"/>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56"/>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56"/>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56"/>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56"/>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56"/>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5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56"/>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56"/>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56"/>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56"/>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56"/>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56"/>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56"/>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56"/>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56"/>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5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56"/>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56"/>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56"/>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56"/>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56"/>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56"/>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56"/>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56"/>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56"/>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5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56"/>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56"/>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56"/>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56"/>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56"/>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56"/>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56"/>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56"/>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56"/>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5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56"/>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56"/>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56"/>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56"/>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56"/>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56"/>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56"/>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56"/>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56"/>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5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56"/>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56"/>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56"/>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56"/>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56"/>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56"/>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56"/>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56"/>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56"/>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5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56"/>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56"/>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56"/>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56"/>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56"/>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56"/>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56"/>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56"/>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56"/>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5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56"/>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56"/>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56"/>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56"/>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56"/>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56"/>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56"/>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56"/>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56"/>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5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56"/>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56"/>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56"/>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56"/>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56"/>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56"/>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56"/>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56"/>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56"/>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56"/>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56"/>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56"/>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56"/>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56"/>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56"/>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56"/>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56"/>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56"/>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5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56"/>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56"/>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56"/>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56"/>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56"/>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56"/>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56"/>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56"/>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56"/>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5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56"/>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56"/>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56"/>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56"/>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56"/>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56"/>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56"/>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56"/>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56"/>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5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56"/>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56"/>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56"/>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56"/>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56"/>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56"/>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56"/>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56"/>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56"/>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5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56"/>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56"/>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56"/>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56"/>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56"/>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56"/>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56"/>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56"/>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56"/>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5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56"/>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56"/>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56"/>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56"/>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56"/>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56"/>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56"/>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56"/>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56"/>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5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56"/>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56"/>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56"/>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56"/>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56"/>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56"/>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56"/>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56"/>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56"/>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5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56"/>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56"/>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56"/>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56"/>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56"/>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56"/>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56"/>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56"/>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56"/>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5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56"/>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56"/>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56"/>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56"/>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56"/>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56"/>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56"/>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56"/>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56"/>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5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56"/>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56"/>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56"/>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56"/>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56"/>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56"/>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56"/>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56"/>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56"/>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56"/>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56"/>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56"/>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56"/>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56"/>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56"/>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56"/>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56"/>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56"/>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5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56"/>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56"/>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56"/>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56"/>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56"/>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56"/>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56"/>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56"/>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56"/>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5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56"/>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56"/>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56"/>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56"/>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56"/>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56"/>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56"/>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56"/>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56"/>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5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56"/>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56"/>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56"/>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56"/>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56"/>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56"/>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56"/>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56"/>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56"/>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5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56"/>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56"/>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56"/>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56"/>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56"/>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56"/>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56"/>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56"/>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56"/>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5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56"/>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56"/>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56"/>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56"/>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56"/>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56"/>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56"/>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56"/>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56"/>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5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56"/>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56"/>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56"/>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56"/>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56"/>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56"/>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56"/>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56"/>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56"/>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5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56"/>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56"/>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56"/>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56"/>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56"/>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56"/>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56"/>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56"/>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56"/>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5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56"/>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56"/>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56"/>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56"/>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56"/>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56"/>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56"/>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56"/>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56"/>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5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56"/>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56"/>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56"/>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56"/>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56"/>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56"/>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56"/>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56"/>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56"/>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56"/>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56"/>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56"/>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56"/>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56"/>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56"/>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56"/>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56"/>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56"/>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5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56"/>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56"/>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56"/>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56"/>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56"/>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56"/>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56"/>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56"/>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56"/>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5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56"/>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56"/>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56"/>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56"/>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56"/>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56"/>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56"/>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56"/>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56"/>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5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56"/>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56"/>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56"/>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56"/>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56"/>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56"/>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56"/>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56"/>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56"/>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5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56"/>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56"/>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56"/>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56"/>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56"/>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56"/>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56"/>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56"/>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56"/>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5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56"/>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56"/>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56"/>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56"/>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56"/>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56"/>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56"/>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56"/>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56"/>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5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56"/>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56"/>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56"/>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56"/>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56"/>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56"/>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56"/>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56"/>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56"/>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5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56"/>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56"/>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56"/>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56"/>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56"/>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56"/>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56"/>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56"/>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56"/>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5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56"/>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56"/>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56"/>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56"/>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56"/>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56"/>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56"/>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56"/>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56"/>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5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56"/>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56"/>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56"/>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56"/>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56"/>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56"/>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56"/>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56"/>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56"/>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56"/>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56"/>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56"/>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56"/>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56"/>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56"/>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56"/>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56"/>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56"/>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5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56"/>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56"/>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56"/>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56"/>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56"/>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56"/>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56"/>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56"/>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56"/>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5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56"/>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56"/>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56"/>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56"/>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56"/>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56"/>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56"/>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56"/>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56"/>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5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56"/>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56"/>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56"/>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56"/>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56"/>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56"/>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56"/>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56"/>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56"/>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5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56"/>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56"/>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56"/>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56"/>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56"/>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56"/>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56"/>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56"/>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56"/>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5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56"/>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56"/>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56"/>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56"/>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56"/>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56"/>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56"/>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56"/>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56"/>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5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56"/>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56"/>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56"/>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56"/>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56"/>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56"/>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56"/>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56"/>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56"/>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5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56"/>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56"/>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56"/>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56"/>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56"/>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56"/>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56"/>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56"/>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56"/>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5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56"/>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56"/>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56"/>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56"/>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56"/>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56"/>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56"/>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56"/>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56"/>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5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56"/>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56"/>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56"/>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56"/>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56"/>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56"/>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56"/>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56"/>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56"/>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56"/>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56"/>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56"/>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56"/>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56"/>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56"/>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56"/>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56"/>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56"/>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5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56"/>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56"/>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56"/>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56"/>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56"/>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56"/>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56"/>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56"/>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56"/>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5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56"/>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56"/>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56"/>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56"/>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56"/>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56"/>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56"/>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56"/>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56"/>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5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56"/>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56"/>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56"/>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56"/>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56"/>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56"/>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56"/>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56"/>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56"/>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5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56"/>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56"/>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56"/>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56"/>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56"/>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56"/>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56"/>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56"/>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56"/>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5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56"/>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56"/>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56"/>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56"/>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56"/>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56"/>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56"/>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56"/>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56"/>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5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56"/>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56"/>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56"/>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56"/>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56"/>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56"/>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56"/>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56"/>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56"/>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5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56"/>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56"/>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56"/>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56"/>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56"/>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56"/>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56"/>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56"/>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56"/>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5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56"/>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56"/>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56"/>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56"/>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56"/>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56"/>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56"/>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56"/>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56"/>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5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56"/>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56"/>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56"/>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56"/>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56"/>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56"/>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56"/>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56"/>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56"/>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56"/>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56"/>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56"/>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56"/>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56"/>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56"/>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56"/>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56"/>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56"/>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5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56"/>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56"/>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56"/>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56"/>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56"/>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56"/>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56"/>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56"/>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56"/>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5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56"/>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56"/>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56"/>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56"/>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56"/>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56"/>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56"/>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56"/>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56"/>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5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56"/>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56"/>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56"/>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56"/>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56"/>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56"/>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56"/>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56"/>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56"/>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5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56"/>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56"/>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56"/>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56"/>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56"/>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56"/>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56"/>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56"/>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56"/>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5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56"/>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56"/>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56"/>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56"/>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56"/>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56"/>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56"/>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56"/>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56"/>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5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56"/>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56"/>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56"/>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56"/>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56"/>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56"/>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56"/>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56"/>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56"/>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5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56"/>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56"/>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56"/>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56"/>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56"/>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56"/>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56"/>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56"/>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56"/>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5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56"/>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56"/>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56"/>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56"/>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56"/>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56"/>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56"/>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56"/>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56"/>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5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56"/>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56"/>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56"/>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56"/>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56"/>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56"/>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56"/>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56"/>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56"/>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56"/>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56"/>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56"/>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56"/>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56"/>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56"/>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56"/>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56"/>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56"/>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5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56"/>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56"/>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56"/>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56"/>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56"/>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56"/>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56"/>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56"/>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56"/>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5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56"/>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56"/>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56"/>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56"/>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56"/>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56"/>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56"/>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56"/>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56"/>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5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56"/>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56"/>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56"/>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56"/>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56"/>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56"/>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56"/>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56"/>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56"/>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5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56"/>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56"/>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56"/>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56"/>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1" outlineLevelCol="0" x14ac:dyDescent="0" defaultColWidth="14.5"/>
  <cols>
    <col min="1" max="1" width="0.83203125" customWidth="1"/>
    <col min="2" max="2" width="25.5" customWidth="1"/>
    <col min="3" max="4" width="5.6640625" customWidth="1"/>
    <col min="5" max="5" width="11.5" customWidth="1"/>
    <col min="6"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58" t="str">
        <f>Company_Name&amp;" "&amp;"("&amp;Ticker&amp;")"&amp;" Valuation Overview"</f>
        <v>Republic Services, Inc. (RSG) Valuation Overview</v>
      </c>
      <c r="C1" s="4"/>
      <c r="D1" s="4"/>
      <c r="E1" s="4"/>
      <c r="F1" s="4"/>
      <c r="G1" s="4"/>
      <c r="H1" s="4"/>
      <c r="I1" s="4"/>
      <c r="J1" s="159"/>
      <c r="K1" s="130" t="s">
        <v>133</v>
      </c>
      <c r="L1" s="57"/>
      <c r="M1" s="57"/>
      <c r="N1" s="160"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1">
        <f>Share_Price</f>
        <v>206.55</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2">
        <f>Current_Date</f>
        <v>46145</v>
      </c>
      <c r="P3" s="57"/>
      <c r="Q3" s="4"/>
      <c r="R3" s="4"/>
      <c r="S3" s="4"/>
      <c r="T3" s="4"/>
      <c r="U3" s="4"/>
      <c r="V3" s="8"/>
      <c r="W3" s="8"/>
      <c r="X3" s="8"/>
      <c r="Y3" s="8"/>
      <c r="Z3" s="8"/>
      <c r="AA3" s="8"/>
      <c r="AB3" s="8"/>
      <c r="AC3" s="8"/>
      <c r="AD3" s="8"/>
    </row>
    <row r="4" ht="15.75" customHeight="1" spans="1:30" x14ac:dyDescent="0.25">
      <c r="A4" s="4"/>
      <c r="B4" s="163" t="str">
        <f>"Multiples Analysis "&amp;"("&amp;S21&amp;")"</f>
        <v>Multiples Analysis (P/E)</v>
      </c>
      <c r="C4" s="164"/>
      <c r="D4" s="164"/>
      <c r="E4" s="164"/>
      <c r="F4" s="164"/>
      <c r="G4" s="165"/>
      <c r="H4" s="4"/>
      <c r="I4" s="166" t="s">
        <v>139</v>
      </c>
      <c r="J4" s="167"/>
      <c r="K4" s="167"/>
      <c r="L4" s="167"/>
      <c r="M4" s="167"/>
      <c r="N4" s="167"/>
      <c r="O4" s="168"/>
      <c r="P4" s="4"/>
      <c r="Q4" s="4"/>
      <c r="R4" s="4"/>
      <c r="S4" s="4"/>
      <c r="T4" s="4"/>
      <c r="U4" s="4"/>
      <c r="V4" s="8"/>
      <c r="W4" s="8"/>
      <c r="X4" s="8"/>
      <c r="Y4" s="8"/>
      <c r="Z4" s="8"/>
      <c r="AA4" s="8"/>
      <c r="AB4" s="8"/>
      <c r="AC4" s="8"/>
      <c r="AD4" s="8"/>
    </row>
    <row r="5" ht="4.5" customHeight="1" spans="1:30" x14ac:dyDescent="0.25">
      <c r="A5" s="4"/>
      <c r="B5" s="4"/>
      <c r="C5" s="4"/>
      <c r="D5" s="4"/>
      <c r="E5" s="4"/>
      <c r="F5" s="4"/>
      <c r="G5" s="4"/>
      <c r="H5" s="4"/>
      <c r="I5" s="169"/>
      <c r="O5" s="170"/>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1"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2">
        <f>Cover!L9</f>
        <v>89474.7792458818</v>
      </c>
      <c r="O7" s="173"/>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74">
        <f>Cover!L10</f>
        <v>76784.35293008054</v>
      </c>
      <c r="O8" s="175"/>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76">
        <f>Cover!L12</f>
        <v>245.8672844382982</v>
      </c>
      <c r="O9" s="177"/>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78">
        <f>Cover!L13</f>
        <v>0.19035238169110724</v>
      </c>
      <c r="O10" s="179"/>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0"/>
      <c r="J11" s="8"/>
      <c r="K11" s="8"/>
      <c r="L11" s="8"/>
      <c r="M11" s="8"/>
      <c r="N11" s="8"/>
      <c r="O11" s="181"/>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1" t="str">
        <f>Cover!I15</f>
        <v>Perpetuity Growth Method</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2" t="str">
        <f>Cover!I16</f>
        <v>Implied Enterprise Value:</v>
      </c>
      <c r="J13" s="123"/>
      <c r="K13" s="123"/>
      <c r="L13" s="123"/>
      <c r="M13" s="123"/>
      <c r="N13" s="172">
        <f>Cover!L16</f>
        <v>95925.29736671782</v>
      </c>
      <c r="O13" s="173"/>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3" t="str">
        <f>Cover!I17</f>
        <v>Implied Equity Value:</v>
      </c>
      <c r="J14" s="84"/>
      <c r="K14" s="84"/>
      <c r="L14" s="84"/>
      <c r="M14" s="84"/>
      <c r="N14" s="174">
        <f>Cover!L17</f>
        <v>83234.87105091655</v>
      </c>
      <c r="O14" s="175"/>
      <c r="Q14" s="4"/>
      <c r="AB14" s="8"/>
      <c r="AC14" s="8"/>
      <c r="AD14" s="8"/>
    </row>
    <row r="15" ht="15.75" customHeight="1" spans="1:30" x14ac:dyDescent="0.25">
      <c r="A15" s="4"/>
      <c r="B15" s="4"/>
      <c r="C15" s="4"/>
      <c r="D15" s="4"/>
      <c r="E15" s="4"/>
      <c r="F15" s="4"/>
      <c r="G15" s="4"/>
      <c r="H15" s="4"/>
      <c r="I15" s="180" t="str">
        <f>Cover!I19</f>
        <v>Implied Share Price:</v>
      </c>
      <c r="J15" s="8"/>
      <c r="K15" s="8"/>
      <c r="L15" s="8"/>
      <c r="M15" s="8"/>
      <c r="N15" s="176">
        <f>Cover!L19</f>
        <v>266.5221615463226</v>
      </c>
      <c r="O15" s="177"/>
      <c r="Q15" s="4"/>
      <c r="AB15" s="8"/>
      <c r="AC15" s="8"/>
      <c r="AD15" s="8"/>
    </row>
    <row r="16" ht="15.75" customHeight="1" spans="1:30" x14ac:dyDescent="0.25">
      <c r="A16" s="4"/>
      <c r="B16" s="4"/>
      <c r="C16" s="4"/>
      <c r="D16" s="4"/>
      <c r="E16" s="4"/>
      <c r="F16" s="4"/>
      <c r="G16" s="4"/>
      <c r="H16" s="4"/>
      <c r="I16" s="184" t="str">
        <f>Cover!I20</f>
        <v>% Return:</v>
      </c>
      <c r="J16" s="122"/>
      <c r="K16" s="122"/>
      <c r="L16" s="122"/>
      <c r="M16" s="122"/>
      <c r="N16" s="178">
        <f>Cover!L20</f>
        <v>0.29035178671664275</v>
      </c>
      <c r="O16" s="179"/>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85"/>
      <c r="C18" s="186"/>
      <c r="D18" s="186"/>
      <c r="E18" s="187" t="s">
        <v>97</v>
      </c>
      <c r="F18" s="188"/>
      <c r="G18" s="188"/>
      <c r="H18" s="188"/>
      <c r="I18" s="188"/>
      <c r="J18" s="188"/>
      <c r="K18" s="189"/>
      <c r="L18" s="4"/>
      <c r="M18" s="190" t="s">
        <v>101</v>
      </c>
      <c r="N18" s="191"/>
      <c r="O18" s="190" t="s">
        <v>101</v>
      </c>
      <c r="P18" s="4"/>
      <c r="Q18" s="4"/>
      <c r="R18" s="8"/>
      <c r="S18" s="8"/>
      <c r="T18" s="8"/>
      <c r="U18" s="8"/>
      <c r="V18" s="8"/>
      <c r="W18" s="8"/>
      <c r="X18" s="8"/>
      <c r="Y18" s="8"/>
      <c r="Z18" s="8"/>
      <c r="AA18" s="8"/>
      <c r="AB18" s="8"/>
      <c r="AC18" s="8"/>
      <c r="AD18" s="8"/>
    </row>
    <row r="19" ht="15.75" customHeight="1" spans="1:30" x14ac:dyDescent="0.25">
      <c r="A19" s="4"/>
      <c r="B19" s="192" t="s">
        <v>140</v>
      </c>
      <c r="C19" s="193"/>
      <c r="D19" s="193"/>
      <c r="E19" s="193">
        <f>Summary!U6</f>
        <v>2024</v>
      </c>
      <c r="F19" s="193">
        <f>Summary!V6</f>
        <v>2025</v>
      </c>
      <c r="G19" s="193" t="str">
        <f>Summary!W6</f>
        <v>2026e</v>
      </c>
      <c r="H19" s="193" t="str">
        <f>Summary!X6</f>
        <v>2027e</v>
      </c>
      <c r="I19" s="193" t="str">
        <f>Summary!Y6</f>
        <v>2028e</v>
      </c>
      <c r="J19" s="193" t="str">
        <f>Summary!Z6</f>
        <v>2029e</v>
      </c>
      <c r="K19" s="194" t="str">
        <f>Summary!AA6</f>
        <v>2030e</v>
      </c>
      <c r="L19" s="191"/>
      <c r="M19" s="195" t="s">
        <v>102</v>
      </c>
      <c r="N19" s="191"/>
      <c r="O19" s="195" t="s">
        <v>103</v>
      </c>
      <c r="P19" s="4"/>
      <c r="Q19" s="4"/>
      <c r="R19" s="4"/>
      <c r="S19" s="4"/>
      <c r="T19" s="4"/>
      <c r="U19" s="4"/>
      <c r="V19" s="8"/>
      <c r="W19" s="8"/>
      <c r="X19" s="8"/>
      <c r="Y19" s="8"/>
      <c r="Z19" s="8"/>
      <c r="AA19" s="8"/>
      <c r="AB19" s="8"/>
      <c r="AC19" s="8"/>
      <c r="AD19" s="8"/>
    </row>
    <row r="20" ht="4.5" customHeight="1" spans="1:30" x14ac:dyDescent="0.25">
      <c r="A20" s="4"/>
      <c r="B20" s="4"/>
      <c r="C20" s="4"/>
      <c r="D20" s="196"/>
      <c r="E20" s="191"/>
      <c r="F20" s="191"/>
      <c r="G20" s="191"/>
      <c r="H20" s="191"/>
      <c r="I20" s="191"/>
      <c r="J20" s="191"/>
      <c r="K20" s="191"/>
      <c r="L20" s="191"/>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197">
        <f>Summary!T8</f>
        <v>14964.500000000002</v>
      </c>
      <c r="E21" s="107">
        <f>Summary!U8</f>
        <v>16031.900000000001</v>
      </c>
      <c r="F21" s="108">
        <f>Summary!V8</f>
        <v>16592</v>
      </c>
      <c r="G21" s="107">
        <f>Summary!W8</f>
        <v>17326.11844325</v>
      </c>
      <c r="H21" s="107">
        <f>Summary!X8</f>
        <v>18048.662666999997</v>
      </c>
      <c r="I21" s="107">
        <f>Summary!Y8</f>
        <v>18921.749183770997</v>
      </c>
      <c r="J21" s="107">
        <f>Summary!Z8</f>
        <v>19882.732929281065</v>
      </c>
      <c r="K21" s="108">
        <f>Summary!AA8</f>
        <v>20839.078807590817</v>
      </c>
      <c r="L21" s="107"/>
      <c r="M21" s="198">
        <f>Summary!AC8</f>
        <v>0.05297549472700114</v>
      </c>
      <c r="N21" s="199"/>
      <c r="O21" s="198">
        <f>Summary!AE8</f>
        <v>0.04663669162390294</v>
      </c>
      <c r="P21" s="4"/>
      <c r="Q21" s="4"/>
      <c r="R21" s="8" t="s">
        <v>141</v>
      </c>
      <c r="S21" s="200" t="s">
        <v>135</v>
      </c>
      <c r="T21" s="4"/>
      <c r="U21" s="8"/>
      <c r="V21" s="8"/>
      <c r="W21" s="8"/>
      <c r="Y21" s="8"/>
      <c r="Z21" s="8"/>
      <c r="AA21" s="8"/>
      <c r="AB21" s="8"/>
      <c r="AC21" s="8"/>
      <c r="AD21" s="8"/>
    </row>
    <row r="22" ht="15.75" customHeight="1" spans="1:30" x14ac:dyDescent="0.25">
      <c r="A22" s="4"/>
      <c r="B22" s="111" t="str">
        <f>Summary!C9</f>
        <v>YoY % Growth</v>
      </c>
      <c r="C22" s="8"/>
      <c r="D22" s="197"/>
      <c r="E22" s="112">
        <f>Summary!U9</f>
        <v>0.07132881152059878</v>
      </c>
      <c r="F22" s="113">
        <f>Summary!V9</f>
        <v>0.03493659516339287</v>
      </c>
      <c r="G22" s="112">
        <f>Summary!W9</f>
        <v>0.04424532565392969</v>
      </c>
      <c r="H22" s="112">
        <f>Summary!X9</f>
        <v>0.041702602121566734</v>
      </c>
      <c r="I22" s="112">
        <f>Summary!Y9</f>
        <v>0.0483740281969669</v>
      </c>
      <c r="J22" s="112">
        <f>Summary!Z9</f>
        <v>0.050787257360661586</v>
      </c>
      <c r="K22" s="113">
        <f>Summary!AA9</f>
        <v>0.048099317217169535</v>
      </c>
      <c r="L22" s="112"/>
      <c r="M22" s="110"/>
      <c r="N22" s="199"/>
      <c r="O22" s="110"/>
      <c r="P22" s="4"/>
      <c r="Q22" s="4"/>
      <c r="R22" s="8"/>
      <c r="S22" s="8"/>
      <c r="T22" s="8"/>
      <c r="U22" s="8"/>
      <c r="V22" s="8"/>
      <c r="W22" s="8"/>
      <c r="Y22" s="8"/>
      <c r="Z22" s="8"/>
      <c r="AA22" s="8"/>
      <c r="AB22" s="8"/>
      <c r="AC22" s="8"/>
      <c r="AD22" s="8"/>
    </row>
    <row r="23" ht="15.75" customHeight="1" spans="1:30" x14ac:dyDescent="0.25">
      <c r="A23" s="4"/>
      <c r="B23" s="4"/>
      <c r="C23" s="4"/>
      <c r="D23" s="197"/>
      <c r="E23" s="107"/>
      <c r="F23" s="108"/>
      <c r="G23" s="107"/>
      <c r="H23" s="107"/>
      <c r="I23" s="107"/>
      <c r="J23" s="107"/>
      <c r="K23" s="201"/>
      <c r="L23" s="4"/>
      <c r="M23" s="110"/>
      <c r="N23" s="199"/>
      <c r="O23" s="110"/>
      <c r="P23" s="4"/>
      <c r="Q23" s="4"/>
      <c r="R23" s="202" t="s">
        <v>142</v>
      </c>
      <c r="S23" s="202" t="s">
        <v>137</v>
      </c>
      <c r="T23" s="202" t="s">
        <v>135</v>
      </c>
      <c r="U23" s="202" t="s">
        <v>143</v>
      </c>
      <c r="W23" s="8"/>
      <c r="Y23" s="8"/>
      <c r="Z23" s="8"/>
      <c r="AA23" s="8"/>
      <c r="AB23" s="8"/>
      <c r="AC23" s="8"/>
      <c r="AD23" s="8"/>
    </row>
    <row r="24" ht="15.75" customHeight="1" spans="1:30" x14ac:dyDescent="0.25">
      <c r="A24" s="4"/>
      <c r="B24" s="8" t="str">
        <f>Summary!C11</f>
        <v>Gross Profit</v>
      </c>
      <c r="C24" s="8"/>
      <c r="D24" s="197">
        <f>Summary!T11</f>
        <v>14964.500000000002</v>
      </c>
      <c r="E24" s="107">
        <f>Summary!U11</f>
        <v>16031.900000000001</v>
      </c>
      <c r="F24" s="108">
        <f>Summary!V11</f>
        <v>16592</v>
      </c>
      <c r="G24" s="107">
        <f>Summary!W11</f>
        <v>14771.088747938</v>
      </c>
      <c r="H24" s="107">
        <f>Summary!X11</f>
        <v>7711.047578778</v>
      </c>
      <c r="I24" s="107">
        <f>Summary!Y11</f>
        <v>8155.2738982053</v>
      </c>
      <c r="J24" s="107">
        <f>Summary!Z11</f>
        <v>8509.809693732295</v>
      </c>
      <c r="K24" s="108">
        <f>Summary!AA11</f>
        <v>8919.125729648867</v>
      </c>
      <c r="L24" s="107"/>
      <c r="M24" s="110">
        <f>Summary!AC11</f>
        <v>0.05297549472700114</v>
      </c>
      <c r="N24" s="199"/>
      <c r="O24" s="110">
        <f>Summary!AE11</f>
        <v>-0.11674783751086426</v>
      </c>
      <c r="P24" s="4"/>
      <c r="Q24" s="4"/>
      <c r="R24" s="75" t="s">
        <v>144</v>
      </c>
      <c r="S24" s="203">
        <f>Valuation!D12</f>
        <v>14.5160559134403</v>
      </c>
      <c r="T24" s="203">
        <f>Valuation!D11</f>
        <v>29.9280446457396</v>
      </c>
      <c r="U24" s="203">
        <f>IF($S$21=$S$23,S24,T24)</f>
        <v>29.9280446457396</v>
      </c>
      <c r="W24" s="8"/>
      <c r="X24" s="8"/>
      <c r="Y24" s="8"/>
      <c r="Z24" s="8"/>
      <c r="AA24" s="8"/>
      <c r="AB24" s="8"/>
      <c r="AC24" s="8"/>
      <c r="AD24" s="8"/>
    </row>
    <row r="25" ht="15.75" customHeight="1" spans="1:30" x14ac:dyDescent="0.25">
      <c r="A25" s="4"/>
      <c r="B25" s="111" t="str">
        <f>Summary!C12</f>
        <v>% Margin</v>
      </c>
      <c r="C25" s="8"/>
      <c r="D25" s="197"/>
      <c r="E25" s="112">
        <f>Summary!U12</f>
        <v>1</v>
      </c>
      <c r="F25" s="113">
        <f>Summary!V12</f>
        <v>1</v>
      </c>
      <c r="G25" s="112">
        <f>Summary!W12</f>
        <v>0.8525330584758063</v>
      </c>
      <c r="H25" s="112">
        <f>Summary!X12</f>
        <v>0.42723650616379494</v>
      </c>
      <c r="I25" s="112">
        <f>Summary!Y12</f>
        <v>0.431</v>
      </c>
      <c r="J25" s="112">
        <f>Summary!Z12</f>
        <v>0.428</v>
      </c>
      <c r="K25" s="113">
        <f>Summary!AA12</f>
        <v>0.4279999999999999</v>
      </c>
      <c r="L25" s="112"/>
      <c r="M25" s="110"/>
      <c r="N25" s="199"/>
      <c r="O25" s="110"/>
      <c r="P25" s="4"/>
      <c r="Q25" s="4"/>
      <c r="R25" s="75" t="str">
        <f>Model!Y25</f>
        <v>2026e</v>
      </c>
      <c r="S25" s="204">
        <f>(Comparables!H10*S30)/(Model!Y61)</f>
        <v>14.25596222341703</v>
      </c>
      <c r="T25" s="204">
        <f>(Comparables!$G$10*S30)/Summary!W19</f>
        <v>26.018007097600382</v>
      </c>
      <c r="U25" s="204">
        <f>IF($S$21=$S$23,S25,T25)</f>
        <v>26.018007097600382</v>
      </c>
      <c r="W25" s="8"/>
      <c r="X25" s="8"/>
      <c r="Y25" s="8"/>
      <c r="Z25" s="8"/>
      <c r="AA25" s="8"/>
      <c r="AB25" s="8"/>
      <c r="AC25" s="8"/>
      <c r="AD25" s="8"/>
    </row>
    <row r="26" ht="15.75" customHeight="1" spans="1:30" x14ac:dyDescent="0.25">
      <c r="A26" s="4"/>
      <c r="B26" s="111" t="str">
        <f>Summary!C13</f>
        <v>YoY % Growth</v>
      </c>
      <c r="C26" s="8"/>
      <c r="D26" s="197"/>
      <c r="E26" s="112">
        <f>Summary!U13</f>
        <v>0.07132881152059878</v>
      </c>
      <c r="F26" s="113">
        <f>Summary!V13</f>
        <v>0.03493659516339287</v>
      </c>
      <c r="G26" s="112">
        <f>Summary!W13</f>
        <v>-0.109746338721191</v>
      </c>
      <c r="H26" s="112">
        <f>Summary!X13</f>
        <v>-0.4779634927144799</v>
      </c>
      <c r="I26" s="112">
        <f>Summary!Y13</f>
        <v>0.05760907514692026</v>
      </c>
      <c r="J26" s="112">
        <f>Summary!Z13</f>
        <v>0.04347319292427643</v>
      </c>
      <c r="K26" s="113">
        <f>Summary!AA13</f>
        <v>0.04809931721716931</v>
      </c>
      <c r="L26" s="112"/>
      <c r="M26" s="110"/>
      <c r="N26" s="199"/>
      <c r="O26" s="110"/>
      <c r="P26" s="4"/>
      <c r="Q26" s="4"/>
      <c r="R26" s="75" t="str">
        <f>Summary!AA6</f>
        <v>2030e</v>
      </c>
      <c r="S26" s="204">
        <f>(Comparables!H10*S30)/(Model!AG61)</f>
        <v>12.02934291827175</v>
      </c>
      <c r="T26" s="204">
        <f>(Comparables!$G$10*S30)/Summary!AA19</f>
        <v>21.73635108627834</v>
      </c>
      <c r="U26" s="204">
        <f>IF($S$21=$S$23,S26,T26)</f>
        <v>21.73635108627834</v>
      </c>
      <c r="W26" s="8"/>
      <c r="X26" s="8"/>
      <c r="Y26" s="8"/>
      <c r="Z26" s="8"/>
      <c r="AA26" s="8"/>
      <c r="AB26" s="8"/>
      <c r="AC26" s="8"/>
      <c r="AD26" s="8"/>
    </row>
    <row r="27" ht="15.75" customHeight="1" spans="1:30" x14ac:dyDescent="0.25">
      <c r="A27" s="4"/>
      <c r="B27" s="4"/>
      <c r="C27" s="4"/>
      <c r="D27" s="197"/>
      <c r="E27" s="107"/>
      <c r="F27" s="108"/>
      <c r="G27" s="107"/>
      <c r="H27" s="107"/>
      <c r="I27" s="107"/>
      <c r="J27" s="107"/>
      <c r="K27" s="201"/>
      <c r="L27" s="4"/>
      <c r="M27" s="110"/>
      <c r="N27" s="199"/>
      <c r="O27" s="110"/>
      <c r="P27" s="4"/>
      <c r="Q27" s="4"/>
      <c r="R27" s="75" t="s">
        <v>145</v>
      </c>
      <c r="S27" s="204">
        <f>Valuation!K60</f>
        <v>14</v>
      </c>
      <c r="T27" s="204">
        <f>Valuation!K72/Summary!AA19</f>
        <v>24.708975319551413</v>
      </c>
      <c r="U27" s="204">
        <f>IF($S$21=$S$23,S27,T27)</f>
        <v>24.708975319551413</v>
      </c>
      <c r="W27" s="8"/>
      <c r="X27" s="8"/>
      <c r="Y27" s="8"/>
      <c r="Z27" s="8"/>
      <c r="AA27" s="8"/>
      <c r="AB27" s="8"/>
      <c r="AC27" s="8"/>
      <c r="AD27" s="8"/>
    </row>
    <row r="28" ht="15.75" customHeight="1" spans="1:30" x14ac:dyDescent="0.25">
      <c r="A28" s="4"/>
      <c r="B28" s="8" t="str">
        <f>Summary!C27</f>
        <v>EBITDA</v>
      </c>
      <c r="C28" s="8"/>
      <c r="D28" s="197">
        <f>Summary!T27</f>
        <v>14964.500000000002</v>
      </c>
      <c r="E28" s="107">
        <f>Summary!U27</f>
        <v>16031.900000000001</v>
      </c>
      <c r="F28" s="108">
        <f>Summary!V27</f>
        <v>16592</v>
      </c>
      <c r="G28" s="107">
        <f>Summary!W27</f>
        <v>5679.7132337372495</v>
      </c>
      <c r="H28" s="107">
        <f>Summary!X27</f>
        <v>5740.120645898999</v>
      </c>
      <c r="I28" s="107">
        <f>Summary!Y27</f>
        <v>6130.646735541803</v>
      </c>
      <c r="J28" s="107">
        <f>Summary!Z27</f>
        <v>6402.240003228502</v>
      </c>
      <c r="K28" s="108">
        <f>Summary!AA27</f>
        <v>6731.022454851831</v>
      </c>
      <c r="L28" s="107"/>
      <c r="M28" s="110">
        <f>Summary!AC27</f>
        <v>0.05297549472700114</v>
      </c>
      <c r="N28" s="199"/>
      <c r="O28" s="110">
        <f>Summary!AE27</f>
        <v>0.04680926291440324</v>
      </c>
      <c r="P28" s="4"/>
      <c r="Q28" s="4"/>
      <c r="R28" s="75" t="s">
        <v>146</v>
      </c>
      <c r="S28" s="204">
        <f>Valuation!K79</f>
        <v>15.185435210206911</v>
      </c>
      <c r="T28" s="204">
        <f>Valuation!S72/Summary!AA19</f>
        <v>26.784732774865155</v>
      </c>
      <c r="U28" s="204">
        <f>IF($S$21=$S$23,S28,T28)</f>
        <v>26.784732774865155</v>
      </c>
      <c r="W28" s="8"/>
      <c r="X28" s="8"/>
      <c r="Y28" s="8"/>
      <c r="Z28" s="8"/>
      <c r="AA28" s="8"/>
      <c r="AB28" s="8"/>
      <c r="AC28" s="8"/>
      <c r="AD28" s="8"/>
    </row>
    <row r="29" ht="15.75" customHeight="1" spans="1:30" x14ac:dyDescent="0.25">
      <c r="A29" s="4"/>
      <c r="B29" s="111" t="str">
        <f>Summary!C28</f>
        <v>Margin</v>
      </c>
      <c r="C29" s="8"/>
      <c r="D29" s="197"/>
      <c r="E29" s="112">
        <f>Summary!U28</f>
        <v>1</v>
      </c>
      <c r="F29" s="113">
        <f>Summary!V28</f>
        <v>1</v>
      </c>
      <c r="G29" s="112">
        <f>Summary!W28</f>
        <v>0.3278122132398317</v>
      </c>
      <c r="H29" s="112">
        <f>Summary!X28</f>
        <v>0.31803578757079776</v>
      </c>
      <c r="I29" s="112">
        <f>Summary!Y28</f>
        <v>0.324</v>
      </c>
      <c r="J29" s="112">
        <f>Summary!Z28</f>
        <v>0.32199999999999995</v>
      </c>
      <c r="K29" s="113">
        <f>Summary!AA28</f>
        <v>0.32299999999999984</v>
      </c>
      <c r="L29" s="112"/>
      <c r="M29" s="110"/>
      <c r="N29" s="199"/>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197"/>
      <c r="E30" s="112">
        <f>Summary!U17</f>
        <v>0.07132881152059878</v>
      </c>
      <c r="F30" s="113">
        <f>Summary!V17</f>
        <v>0.03493659516339287</v>
      </c>
      <c r="G30" s="112">
        <f>Summary!W29</f>
        <v>0.06067700637507456</v>
      </c>
      <c r="H30" s="112">
        <f>Summary!X29</f>
        <v>0.010635644736944228</v>
      </c>
      <c r="I30" s="112">
        <f>Summary!Y29</f>
        <v>0.06803447413980979</v>
      </c>
      <c r="J30" s="112">
        <f>Summary!Z29</f>
        <v>0.04430091626584276</v>
      </c>
      <c r="K30" s="113">
        <f>Summary!AA29</f>
        <v>0.05135428404082498</v>
      </c>
      <c r="L30" s="112"/>
      <c r="M30" s="110"/>
      <c r="N30" s="199"/>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197"/>
      <c r="E31" s="107"/>
      <c r="F31" s="108"/>
      <c r="G31" s="107"/>
      <c r="H31" s="107"/>
      <c r="I31" s="107"/>
      <c r="J31" s="107"/>
      <c r="K31" s="108"/>
      <c r="L31" s="107"/>
      <c r="M31" s="110"/>
      <c r="N31" s="199"/>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197">
        <f>Summary!T19</f>
        <v>14964.500000000002</v>
      </c>
      <c r="E32" s="107">
        <f>Summary!U19</f>
        <v>16031.900000000001</v>
      </c>
      <c r="F32" s="108">
        <f>Summary!V19</f>
        <v>16592</v>
      </c>
      <c r="G32" s="107">
        <f>Summary!W19</f>
        <v>2596.1549263406027</v>
      </c>
      <c r="H32" s="107">
        <f>Summary!X19</f>
        <v>2482.13197696716</v>
      </c>
      <c r="I32" s="107">
        <f>Summary!Y19</f>
        <v>2803.4172936509563</v>
      </c>
      <c r="J32" s="107">
        <f>Summary!Z19</f>
        <v>2919.298888274219</v>
      </c>
      <c r="K32" s="108">
        <f>Summary!AA19</f>
        <v>3107.5490560437593</v>
      </c>
      <c r="L32" s="107"/>
      <c r="M32" s="110">
        <f>Summary!AC19</f>
        <v>0.05297549472700114</v>
      </c>
      <c r="N32" s="199"/>
      <c r="O32" s="110">
        <f>Summary!AE19</f>
        <v>0.04061828248033561</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197"/>
      <c r="E33" s="112">
        <f>Summary!U20</f>
        <v>1</v>
      </c>
      <c r="F33" s="113">
        <f>Summary!V20</f>
        <v>1</v>
      </c>
      <c r="G33" s="112">
        <f>Summary!W20</f>
        <v>0.14984053900151112</v>
      </c>
      <c r="H33" s="112">
        <f>Summary!X20</f>
        <v>0.1375244262005886</v>
      </c>
      <c r="I33" s="112">
        <f>Summary!Y20</f>
        <v>0.14815846391492285</v>
      </c>
      <c r="J33" s="112">
        <f>Summary!Z20</f>
        <v>0.14682583619955997</v>
      </c>
      <c r="K33" s="113">
        <f>Summary!AA20</f>
        <v>0.14912122962516977</v>
      </c>
      <c r="L33" s="112"/>
      <c r="M33" s="110"/>
      <c r="N33" s="199"/>
      <c r="O33" s="110"/>
      <c r="P33" s="4"/>
      <c r="Q33" s="4"/>
      <c r="R33" s="205"/>
      <c r="S33" s="205"/>
      <c r="T33" s="205"/>
      <c r="U33" s="205"/>
      <c r="V33" s="205"/>
      <c r="W33" s="8"/>
      <c r="X33" s="206"/>
      <c r="Y33" s="206"/>
      <c r="Z33" s="206"/>
      <c r="AA33" s="8"/>
      <c r="AB33" s="8"/>
      <c r="AC33" s="8"/>
      <c r="AD33" s="8"/>
    </row>
    <row r="34" ht="15.75" customHeight="1" spans="1:30" x14ac:dyDescent="0.25">
      <c r="A34" s="4"/>
      <c r="B34" s="111" t="str">
        <f>Summary!C21</f>
        <v>YoY % Growth</v>
      </c>
      <c r="C34" s="8"/>
      <c r="D34" s="197"/>
      <c r="E34" s="112">
        <f>Summary!U21</f>
        <v>0.07132881152059878</v>
      </c>
      <c r="F34" s="113">
        <f>Summary!V21</f>
        <v>0.03493659516339287</v>
      </c>
      <c r="G34" s="112">
        <f>Summary!W21</f>
        <v>0.01945925011411398</v>
      </c>
      <c r="H34" s="112">
        <f>Summary!X21</f>
        <v>-0.0439199325959192</v>
      </c>
      <c r="I34" s="112">
        <f>Summary!Y21</f>
        <v>0.12943925611738205</v>
      </c>
      <c r="J34" s="112">
        <f>Summary!Z21</f>
        <v>0.041335834977441754</v>
      </c>
      <c r="K34" s="113">
        <f>Summary!AA21</f>
        <v>0.0644847187541071</v>
      </c>
      <c r="L34" s="112"/>
      <c r="M34" s="110"/>
      <c r="N34" s="199"/>
      <c r="O34" s="110"/>
      <c r="P34" s="4"/>
      <c r="Q34" s="4"/>
      <c r="R34" s="206"/>
      <c r="S34" s="206"/>
      <c r="T34" s="206"/>
      <c r="U34" s="206"/>
      <c r="V34" s="206"/>
      <c r="W34" s="8"/>
      <c r="X34" s="8"/>
      <c r="Y34" s="8"/>
      <c r="Z34" s="8"/>
      <c r="AA34" s="8"/>
      <c r="AB34" s="8"/>
      <c r="AC34" s="8"/>
      <c r="AD34" s="8"/>
    </row>
    <row r="35" ht="15.75" customHeight="1" spans="1:30" x14ac:dyDescent="0.25">
      <c r="A35" s="4"/>
      <c r="B35" s="4"/>
      <c r="C35" s="4"/>
      <c r="D35" s="197"/>
      <c r="E35" s="107"/>
      <c r="F35" s="108"/>
      <c r="G35" s="107"/>
      <c r="H35" s="107"/>
      <c r="I35" s="107"/>
      <c r="J35" s="107"/>
      <c r="K35" s="108"/>
      <c r="L35" s="107"/>
      <c r="M35" s="110"/>
      <c r="N35" s="199"/>
      <c r="O35" s="110"/>
      <c r="P35" s="4"/>
      <c r="Q35" s="4"/>
      <c r="R35" s="206"/>
      <c r="S35" s="206"/>
      <c r="T35" s="206"/>
      <c r="U35" s="206"/>
      <c r="V35" s="206"/>
      <c r="W35" s="8"/>
      <c r="X35" s="8"/>
      <c r="Y35" s="8"/>
      <c r="Z35" s="8"/>
      <c r="AA35" s="8"/>
      <c r="AB35" s="8"/>
      <c r="AC35" s="8"/>
      <c r="AD35" s="8"/>
    </row>
    <row r="36" ht="15.75" customHeight="1" spans="1:30" x14ac:dyDescent="0.25">
      <c r="A36" s="4"/>
      <c r="B36" s="8" t="str">
        <f>Summary!C23</f>
        <v>Adj. EPS (Diluted)</v>
      </c>
      <c r="C36" s="8"/>
      <c r="D36" s="197" t="e">
        <f>Summary!T23</f>
        <v>#DIV/0!</v>
      </c>
      <c r="E36" s="118" t="e">
        <f>Summary!U23</f>
        <v>#DIV/0!</v>
      </c>
      <c r="F36" s="119" t="e">
        <f>Summary!V23</f>
        <v>#DIV/0!</v>
      </c>
      <c r="G36" s="118">
        <f>Summary!W23</f>
        <v>8.301054920353646</v>
      </c>
      <c r="H36" s="118">
        <f>Summary!X23</f>
        <v>8.014668413303683</v>
      </c>
      <c r="I36" s="118">
        <f>Summary!Y23</f>
        <v>9.103086206487252</v>
      </c>
      <c r="J36" s="118">
        <f>Summary!Z23</f>
        <v>9.567629606410177</v>
      </c>
      <c r="K36" s="119">
        <f>Summary!AA23</f>
        <v>10.283124027331134</v>
      </c>
      <c r="L36" s="107"/>
      <c r="M36" s="110" t="str">
        <f>Summary!AC23</f>
        <v>N/A</v>
      </c>
      <c r="N36" s="199"/>
      <c r="O36" s="110">
        <f>Summary!AE23</f>
        <v>0.04917991950321987</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197"/>
      <c r="E37" s="112" t="str">
        <f>Summary!U24</f>
        <v>NA</v>
      </c>
      <c r="F37" s="113" t="str">
        <f>Summary!V24</f>
        <v>NA</v>
      </c>
      <c r="G37" s="112">
        <f>Summary!W24</f>
        <v>0.026261561821734558</v>
      </c>
      <c r="H37" s="112">
        <f>Summary!X24</f>
        <v>-0.03450001352813148</v>
      </c>
      <c r="I37" s="112">
        <f>Summary!Y24</f>
        <v>0.13580322192455085</v>
      </c>
      <c r="J37" s="112">
        <f>Summary!Z24</f>
        <v>0.05103141828887359</v>
      </c>
      <c r="K37" s="113">
        <f>Summary!AA24</f>
        <v>0.07478283026775889</v>
      </c>
      <c r="L37" s="112"/>
      <c r="M37" s="207"/>
      <c r="N37" s="4"/>
      <c r="O37" s="207"/>
      <c r="P37" s="4"/>
      <c r="Q37" s="4"/>
      <c r="R37" s="8"/>
      <c r="S37" s="8"/>
      <c r="T37" s="8"/>
      <c r="U37" s="8"/>
      <c r="V37" s="8"/>
      <c r="W37" s="8"/>
      <c r="X37" s="8"/>
      <c r="Y37" s="8"/>
      <c r="Z37" s="8"/>
      <c r="AA37" s="8"/>
      <c r="AB37" s="8"/>
      <c r="AC37" s="8"/>
      <c r="AD37" s="8"/>
    </row>
    <row r="38" ht="15.75" customHeight="1" spans="1:30" x14ac:dyDescent="0.25">
      <c r="A38" s="4"/>
      <c r="B38" s="111"/>
      <c r="C38" s="8"/>
      <c r="D38" s="197"/>
      <c r="E38" s="112"/>
      <c r="F38" s="113"/>
      <c r="G38" s="112"/>
      <c r="H38" s="112"/>
      <c r="I38" s="112"/>
      <c r="J38" s="112"/>
      <c r="K38" s="113"/>
      <c r="L38" s="112"/>
      <c r="M38" s="207"/>
      <c r="N38" s="4"/>
      <c r="O38" s="207"/>
      <c r="P38" s="4"/>
      <c r="Q38" s="8"/>
      <c r="R38" s="8"/>
      <c r="S38" s="8"/>
      <c r="T38" s="8"/>
      <c r="U38" s="8"/>
      <c r="V38" s="8"/>
      <c r="W38" s="8"/>
      <c r="X38" s="8"/>
      <c r="Y38" s="8"/>
      <c r="Z38" s="8"/>
      <c r="AA38" s="8"/>
      <c r="AB38" s="8"/>
      <c r="AC38" s="8"/>
      <c r="AD38" s="4"/>
    </row>
    <row r="39" ht="15.75" customHeight="1" spans="1:30" x14ac:dyDescent="0.25">
      <c r="A39" s="4"/>
      <c r="B39" s="8" t="s">
        <v>148</v>
      </c>
      <c r="C39" s="4"/>
      <c r="D39" s="197">
        <f>Model!J115</f>
        <v>20273.000000000004</v>
      </c>
      <c r="E39" s="107">
        <f>Model!O115</f>
        <v>16031.900000000001</v>
      </c>
      <c r="F39" s="108">
        <f>Model!T115</f>
        <v>16592</v>
      </c>
      <c r="G39" s="107">
        <f>Model!Y115</f>
        <v>7446.241119228309</v>
      </c>
      <c r="H39" s="107">
        <f>Model!AD115</f>
        <v>6633.695531024014</v>
      </c>
      <c r="I39" s="107">
        <f>Model!AE115</f>
        <v>6904.047670086042</v>
      </c>
      <c r="J39" s="107">
        <f>Model!AF115</f>
        <v>7257.130896526649</v>
      </c>
      <c r="K39" s="108">
        <f>Model!AG115</f>
        <v>7648.799176935234</v>
      </c>
      <c r="L39" s="4"/>
      <c r="M39" s="110">
        <f>IFERROR((F39/D39)^(1/2)-1,"N/A")</f>
        <v>-0.09532964476822847</v>
      </c>
      <c r="N39" s="4"/>
      <c r="O39" s="110">
        <f>IFERROR((K39/G39)^(1/4)-1,"N/A")</f>
        <v>0.006732388289651947</v>
      </c>
      <c r="P39" s="4"/>
      <c r="Q39" s="4"/>
      <c r="R39" s="8"/>
      <c r="S39" s="8"/>
      <c r="T39" s="8"/>
      <c r="U39" s="8"/>
      <c r="V39" s="8"/>
      <c r="W39" s="8"/>
      <c r="X39" s="8"/>
      <c r="Y39" s="8"/>
      <c r="Z39" s="8"/>
      <c r="AA39" s="8"/>
      <c r="AB39" s="8"/>
      <c r="AC39" s="8"/>
      <c r="AD39" s="8"/>
    </row>
    <row r="40" ht="15.75" customHeight="1" spans="1:30" x14ac:dyDescent="0.25">
      <c r="A40" s="4"/>
      <c r="B40" s="111" t="s">
        <v>104</v>
      </c>
      <c r="C40" s="4"/>
      <c r="D40" s="196"/>
      <c r="E40" s="112">
        <f t="shared" ref="E40:K40" si="0">E39/D39-1</f>
        <v>-0.20919942781038825</v>
      </c>
      <c r="F40" s="113">
        <f t="shared" si="0"/>
        <v>0.03493659516339287</v>
      </c>
      <c r="G40" s="112">
        <f t="shared" si="0"/>
        <v>-0.14651371204902186</v>
      </c>
      <c r="H40" s="112">
        <f t="shared" si="0"/>
        <v>-0.10912157895425545</v>
      </c>
      <c r="I40" s="112">
        <f t="shared" si="0"/>
        <v>0.04075437858093789</v>
      </c>
      <c r="J40" s="112">
        <f t="shared" si="0"/>
        <v>0.05114148153559994</v>
      </c>
      <c r="K40" s="113">
        <f t="shared" si="0"/>
        <v>0.05397012758803088</v>
      </c>
      <c r="L40" s="4"/>
      <c r="M40" s="208"/>
      <c r="N40" s="4"/>
      <c r="O40" s="208"/>
      <c r="P40" s="4"/>
      <c r="Q40" s="4"/>
      <c r="R40" s="8"/>
      <c r="S40" s="8"/>
      <c r="T40" s="8"/>
      <c r="U40" s="8"/>
      <c r="V40" s="8"/>
      <c r="W40" s="8"/>
      <c r="X40" s="8"/>
      <c r="Y40" s="8"/>
      <c r="Z40" s="8"/>
      <c r="AA40" s="8"/>
      <c r="AB40" s="8"/>
      <c r="AC40" s="8"/>
      <c r="AD40" s="8"/>
    </row>
    <row r="41" ht="4.5" customHeight="1" spans="1:30" x14ac:dyDescent="0.25">
      <c r="A41" s="4"/>
      <c r="B41" s="4"/>
      <c r="C41" s="4"/>
      <c r="D41" s="196"/>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85"/>
      <c r="C42" s="186"/>
      <c r="D42" s="209"/>
      <c r="E42" s="187" t="s">
        <v>97</v>
      </c>
      <c r="F42" s="188"/>
      <c r="G42" s="188"/>
      <c r="H42" s="188"/>
      <c r="I42" s="188"/>
      <c r="J42" s="188"/>
      <c r="K42" s="189"/>
      <c r="L42" s="4"/>
      <c r="M42" s="190" t="s">
        <v>149</v>
      </c>
      <c r="N42" s="191"/>
      <c r="O42" s="190" t="s">
        <v>149</v>
      </c>
      <c r="P42" s="4"/>
      <c r="Q42" s="4"/>
      <c r="R42" s="8"/>
      <c r="S42" s="8"/>
      <c r="T42" s="8"/>
      <c r="U42" s="8"/>
      <c r="V42" s="8"/>
      <c r="W42" s="8"/>
      <c r="X42" s="8"/>
      <c r="Y42" s="8"/>
      <c r="Z42" s="8"/>
      <c r="AA42" s="8"/>
      <c r="AB42" s="8"/>
      <c r="AC42" s="8"/>
      <c r="AD42" s="8"/>
    </row>
    <row r="43" ht="15.75" customHeight="1" spans="1:30" x14ac:dyDescent="0.25">
      <c r="A43" s="4"/>
      <c r="B43" s="192" t="s">
        <v>150</v>
      </c>
      <c r="C43" s="193"/>
      <c r="D43" s="210"/>
      <c r="E43" s="193">
        <f t="shared" ref="E43:K43" si="1">E19</f>
        <v>2024</v>
      </c>
      <c r="F43" s="193">
        <f t="shared" si="1"/>
        <v>2025</v>
      </c>
      <c r="G43" s="193" t="str">
        <f t="shared" si="1"/>
        <v>2026e</v>
      </c>
      <c r="H43" s="193" t="str">
        <f t="shared" si="1"/>
        <v>2027e</v>
      </c>
      <c r="I43" s="193" t="str">
        <f t="shared" si="1"/>
        <v>2028e</v>
      </c>
      <c r="J43" s="193" t="str">
        <f t="shared" si="1"/>
        <v>2029e</v>
      </c>
      <c r="K43" s="193" t="str">
        <f t="shared" si="1"/>
        <v>2030e</v>
      </c>
      <c r="L43" s="4"/>
      <c r="M43" s="195" t="s">
        <v>102</v>
      </c>
      <c r="N43" s="191"/>
      <c r="O43" s="195" t="s">
        <v>103</v>
      </c>
      <c r="P43" s="4"/>
      <c r="Q43" s="4"/>
      <c r="R43" s="8"/>
      <c r="S43" s="8"/>
      <c r="T43" s="8"/>
      <c r="U43" s="8"/>
      <c r="V43" s="8"/>
      <c r="W43" s="8"/>
      <c r="X43" s="8"/>
      <c r="Y43" s="8"/>
      <c r="Z43" s="8"/>
      <c r="AA43" s="8"/>
      <c r="AB43" s="8"/>
      <c r="AC43" s="8"/>
      <c r="AD43" s="8"/>
    </row>
    <row r="44" ht="15.75" customHeight="1" spans="1:30" x14ac:dyDescent="0.25">
      <c r="A44" s="8"/>
      <c r="B44" s="122" t="str">
        <f>Summary!C91</f>
        <v>Leverage</v>
      </c>
      <c r="C44" s="122"/>
      <c r="D44" s="196"/>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Summary!C92</f>
        <v>Total Debt / EBITDA</v>
      </c>
      <c r="C45" s="4"/>
      <c r="D45" s="197">
        <f>Summary!T92</f>
        <v>0</v>
      </c>
      <c r="E45" s="147">
        <f>Summary!U92</f>
        <v>0</v>
      </c>
      <c r="F45" s="148">
        <f>Summary!V92</f>
        <v>0</v>
      </c>
      <c r="G45" s="147">
        <f>Summary!W92</f>
        <v>2.244437005681869</v>
      </c>
      <c r="H45" s="147">
        <f>Summary!X92</f>
        <v>2.037472904241434</v>
      </c>
      <c r="I45" s="147">
        <f>Summary!Y92</f>
        <v>1.9392877678364144</v>
      </c>
      <c r="J45" s="147">
        <f>Summary!Z92</f>
        <v>1.857906821040401</v>
      </c>
      <c r="K45" s="148">
        <f>Summary!AA92</f>
        <v>1.7916542059373435</v>
      </c>
      <c r="L45" s="4"/>
      <c r="M45" s="211">
        <f>AVERAGE(D45:F45)</f>
        <v>0</v>
      </c>
      <c r="N45" s="199"/>
      <c r="O45" s="211">
        <f>AVERAGE(G45:K45)</f>
        <v>1.9741517409474922</v>
      </c>
      <c r="P45" s="4"/>
      <c r="Q45" s="4"/>
      <c r="R45" s="8"/>
      <c r="S45" s="8"/>
      <c r="T45" s="8"/>
      <c r="U45" s="8"/>
      <c r="V45" s="8"/>
      <c r="W45" s="8"/>
      <c r="X45" s="8"/>
      <c r="Y45" s="8"/>
      <c r="Z45" s="8"/>
      <c r="AA45" s="8"/>
      <c r="AB45" s="8"/>
      <c r="AC45" s="8"/>
      <c r="AD45" s="8"/>
    </row>
    <row r="46" ht="13.5" customHeight="1" spans="1:30" x14ac:dyDescent="0.25">
      <c r="A46" s="4"/>
      <c r="B46" s="130" t="str">
        <f>Summary!C93</f>
        <v>Total Debt / Equity</v>
      </c>
      <c r="C46" s="4"/>
      <c r="D46" s="197" t="str">
        <f>Summary!T93</f>
        <v>NA</v>
      </c>
      <c r="E46" s="147" t="str">
        <f>Summary!U93</f>
        <v>NA</v>
      </c>
      <c r="F46" s="148" t="str">
        <f>Summary!V93</f>
        <v>NA</v>
      </c>
      <c r="G46" s="147">
        <f>Summary!W93</f>
        <v>1.081653196829776</v>
      </c>
      <c r="H46" s="147">
        <f>Summary!X93</f>
        <v>0.9825675874837466</v>
      </c>
      <c r="I46" s="147">
        <f>Summary!Y93</f>
        <v>0.9823267456240827</v>
      </c>
      <c r="J46" s="147">
        <f>Summary!Z93</f>
        <v>0.978055751508003</v>
      </c>
      <c r="K46" s="148">
        <f>Summary!AA93</f>
        <v>0.9942284434548531</v>
      </c>
      <c r="L46" s="4"/>
      <c r="M46" s="212" t="e">
        <f>AVERAGE(D46:F46)</f>
        <v>#DIV/0!</v>
      </c>
      <c r="N46" s="199"/>
      <c r="O46" s="212">
        <f>AVERAGE(G46:K46)</f>
        <v>1.0037663449800922</v>
      </c>
      <c r="P46" s="4"/>
      <c r="Q46" s="4"/>
      <c r="R46" s="8"/>
      <c r="S46" s="8"/>
      <c r="T46" s="8"/>
      <c r="U46" s="8"/>
      <c r="V46" s="8"/>
      <c r="W46" s="8"/>
      <c r="X46" s="8"/>
      <c r="Y46" s="8"/>
      <c r="Z46" s="8"/>
      <c r="AA46" s="8"/>
      <c r="AB46" s="8"/>
      <c r="AC46" s="8"/>
      <c r="AD46" s="8"/>
    </row>
    <row r="47" ht="13.5" customHeight="1" spans="1:30" x14ac:dyDescent="0.25">
      <c r="A47" s="4"/>
      <c r="B47" s="130" t="str">
        <f>Summary!C94</f>
        <v>Total Debt / Total Assets</v>
      </c>
      <c r="C47" s="4"/>
      <c r="D47" s="197" t="str">
        <f>Summary!T94</f>
        <v>NA</v>
      </c>
      <c r="E47" s="147" t="str">
        <f>Summary!U94</f>
        <v>NA</v>
      </c>
      <c r="F47" s="148" t="str">
        <f>Summary!V94</f>
        <v>NA</v>
      </c>
      <c r="G47" s="147">
        <f>Summary!W94</f>
        <v>0.3760653723624041</v>
      </c>
      <c r="H47" s="147">
        <f>Summary!X94</f>
        <v>0.3408767449414243</v>
      </c>
      <c r="I47" s="147">
        <f>Summary!Y94</f>
        <v>0.3408769893781964</v>
      </c>
      <c r="J47" s="147">
        <f>Summary!Z94</f>
        <v>0.33807396713708326</v>
      </c>
      <c r="K47" s="148">
        <f>Summary!AA94</f>
        <v>0.3392491314072109</v>
      </c>
      <c r="L47" s="4"/>
      <c r="M47" s="212" t="e">
        <f>AVERAGE(D47:F47)</f>
        <v>#DIV/0!</v>
      </c>
      <c r="N47" s="199"/>
      <c r="O47" s="212">
        <f>AVERAGE(G47:K47)</f>
        <v>0.34702844104526387</v>
      </c>
      <c r="P47" s="4"/>
      <c r="Q47" s="4"/>
      <c r="R47" s="8"/>
      <c r="S47" s="8"/>
      <c r="T47" s="8"/>
      <c r="U47" s="8"/>
      <c r="V47" s="8"/>
      <c r="W47" s="8"/>
      <c r="X47" s="8"/>
      <c r="Y47" s="8"/>
      <c r="Z47" s="8"/>
      <c r="AA47" s="8"/>
      <c r="AB47" s="8"/>
      <c r="AC47" s="8"/>
      <c r="AD47" s="8"/>
    </row>
    <row r="48" ht="13.5" customHeight="1" spans="1:30" x14ac:dyDescent="0.25">
      <c r="A48" s="4"/>
      <c r="B48" s="4"/>
      <c r="C48" s="4"/>
      <c r="D48" s="197"/>
      <c r="E48" s="4"/>
      <c r="F48" s="201"/>
      <c r="G48" s="4"/>
      <c r="H48" s="4"/>
      <c r="I48" s="4"/>
      <c r="J48" s="4"/>
      <c r="K48" s="201"/>
      <c r="L48" s="4"/>
      <c r="M48" s="110"/>
      <c r="N48" s="199"/>
      <c r="O48" s="110"/>
      <c r="P48" s="4"/>
      <c r="Q48" s="4"/>
      <c r="R48" s="8"/>
      <c r="S48" s="8"/>
      <c r="T48" s="8"/>
      <c r="U48" s="8"/>
      <c r="V48" s="8"/>
      <c r="W48" s="8"/>
      <c r="X48" s="8"/>
      <c r="Y48" s="8"/>
      <c r="Z48" s="8"/>
      <c r="AA48" s="8"/>
      <c r="AB48" s="8"/>
      <c r="AC48" s="8"/>
      <c r="AD48" s="8"/>
    </row>
    <row r="49" ht="13.5" customHeight="1" spans="1:30" x14ac:dyDescent="0.25">
      <c r="A49" s="4"/>
      <c r="B49" s="122" t="str">
        <f>Summary!C103</f>
        <v>Liquidity</v>
      </c>
      <c r="C49" s="30"/>
      <c r="D49" s="197"/>
      <c r="E49" s="4"/>
      <c r="F49" s="201"/>
      <c r="G49" s="4"/>
      <c r="H49" s="4"/>
      <c r="I49" s="4"/>
      <c r="J49" s="4"/>
      <c r="K49" s="201"/>
      <c r="L49" s="4"/>
      <c r="M49" s="110"/>
      <c r="N49" s="199"/>
      <c r="O49" s="110"/>
      <c r="P49" s="4"/>
      <c r="Q49" s="4"/>
      <c r="R49" s="8"/>
      <c r="S49" s="8"/>
      <c r="T49" s="8"/>
      <c r="U49" s="8"/>
      <c r="V49" s="8"/>
      <c r="W49" s="8"/>
      <c r="X49" s="8"/>
      <c r="Y49" s="8"/>
      <c r="Z49" s="8"/>
      <c r="AA49" s="8"/>
      <c r="AB49" s="8"/>
      <c r="AC49" s="8"/>
      <c r="AD49" s="8"/>
    </row>
    <row r="50" ht="13.5" customHeight="1" spans="1:30" x14ac:dyDescent="0.25">
      <c r="A50" s="4"/>
      <c r="B50" s="130" t="str">
        <f>Summary!C104</f>
        <v>Current Ratio</v>
      </c>
      <c r="C50" s="4"/>
      <c r="D50" s="197" t="str">
        <f>Summary!T104</f>
        <v>NA</v>
      </c>
      <c r="E50" s="147" t="str">
        <f>Summary!U104</f>
        <v>NA</v>
      </c>
      <c r="F50" s="148" t="str">
        <f>Summary!V104</f>
        <v>NA</v>
      </c>
      <c r="G50" s="147">
        <f>Summary!W104</f>
        <v>0.5938130931052191</v>
      </c>
      <c r="H50" s="147">
        <f>Summary!X104</f>
        <v>0.5664292955911593</v>
      </c>
      <c r="I50" s="147">
        <f>Summary!Y104</f>
        <v>0.6179109613085634</v>
      </c>
      <c r="J50" s="147">
        <f>Summary!Z104</f>
        <v>0.6098641559174278</v>
      </c>
      <c r="K50" s="148">
        <f>Summary!AA104</f>
        <v>0.6098641559174278</v>
      </c>
      <c r="L50" s="4"/>
      <c r="M50" s="212" t="e">
        <f>AVERAGE(D50:F50)</f>
        <v>#DIV/0!</v>
      </c>
      <c r="N50" s="199"/>
      <c r="O50" s="212">
        <f>AVERAGE(G50:K50)</f>
        <v>0.5995763323679595</v>
      </c>
      <c r="P50" s="4"/>
      <c r="Q50" s="4"/>
      <c r="R50" s="8"/>
      <c r="S50" s="8"/>
      <c r="T50" s="8"/>
      <c r="U50" s="8"/>
      <c r="V50" s="8"/>
      <c r="W50" s="8"/>
      <c r="X50" s="8"/>
      <c r="Y50" s="8"/>
      <c r="Z50" s="8"/>
      <c r="AA50" s="8"/>
      <c r="AB50" s="8"/>
      <c r="AC50" s="8"/>
      <c r="AD50" s="8"/>
    </row>
    <row r="51" ht="13.5" customHeight="1" spans="1:30" x14ac:dyDescent="0.25">
      <c r="A51" s="4"/>
      <c r="B51" s="130" t="str">
        <f>Summary!C105</f>
        <v>Quick Ratio</v>
      </c>
      <c r="C51" s="4"/>
      <c r="D51" s="197" t="str">
        <f>Summary!T105</f>
        <v>NA</v>
      </c>
      <c r="E51" s="147" t="str">
        <f>Summary!U105</f>
        <v>NA</v>
      </c>
      <c r="F51" s="148" t="str">
        <f>Summary!V105</f>
        <v>NA</v>
      </c>
      <c r="G51" s="147">
        <f>Summary!W105</f>
        <v>0.48575226100067115</v>
      </c>
      <c r="H51" s="147">
        <f>Summary!X105</f>
        <v>0.47581104271107494</v>
      </c>
      <c r="I51" s="147">
        <f>Summary!Y105</f>
        <v>0.5267509714394694</v>
      </c>
      <c r="J51" s="147">
        <f>Summary!Z105</f>
        <v>0.5188884476777704</v>
      </c>
      <c r="K51" s="148">
        <f>Summary!AA105</f>
        <v>0.5188884476777703</v>
      </c>
      <c r="L51" s="4"/>
      <c r="M51" s="212" t="e">
        <f>AVERAGE(D51:F51)</f>
        <v>#DIV/0!</v>
      </c>
      <c r="N51" s="199"/>
      <c r="O51" s="212">
        <f>AVERAGE(G51:K51)</f>
        <v>0.5052182341013512</v>
      </c>
      <c r="P51" s="4"/>
      <c r="Q51" s="4"/>
      <c r="R51" s="8"/>
      <c r="S51" s="8"/>
      <c r="T51" s="8"/>
      <c r="U51" s="8"/>
      <c r="V51" s="8"/>
      <c r="W51" s="8"/>
      <c r="X51" s="8"/>
      <c r="Y51" s="8"/>
      <c r="Z51" s="8"/>
      <c r="AA51" s="8"/>
      <c r="AB51" s="8"/>
      <c r="AC51" s="8"/>
      <c r="AD51" s="8"/>
    </row>
    <row r="52" ht="13.5" customHeight="1" spans="1:30" x14ac:dyDescent="0.25">
      <c r="A52" s="4"/>
      <c r="B52" s="130" t="str">
        <f>Summary!C106</f>
        <v>Cash Ratio</v>
      </c>
      <c r="C52" s="4"/>
      <c r="D52" s="197" t="str">
        <f>Summary!T106</f>
        <v>NA</v>
      </c>
      <c r="E52" s="147" t="str">
        <f>Summary!U106</f>
        <v>NA</v>
      </c>
      <c r="F52" s="148" t="str">
        <f>Summary!V106</f>
        <v>NA</v>
      </c>
      <c r="G52" s="147">
        <f>Summary!W106</f>
        <v>0.013663759540585085</v>
      </c>
      <c r="H52" s="147">
        <f>Summary!X106</f>
        <v>0.013541546176059209</v>
      </c>
      <c r="I52" s="147">
        <f>Summary!Y106</f>
        <v>0.05449000275275558</v>
      </c>
      <c r="J52" s="147">
        <f>Summary!Z106</f>
        <v>0.05437985019010495</v>
      </c>
      <c r="K52" s="148">
        <f>Summary!AA106</f>
        <v>0.05437985019010495</v>
      </c>
      <c r="L52" s="4"/>
      <c r="M52" s="212" t="e">
        <f>AVERAGE(D52:F52)</f>
        <v>#DIV/0!</v>
      </c>
      <c r="N52" s="199"/>
      <c r="O52" s="212">
        <f>AVERAGE(G52:K52)</f>
        <v>0.03809100176992195</v>
      </c>
      <c r="P52" s="4"/>
      <c r="Q52" s="4"/>
      <c r="R52" s="8"/>
      <c r="S52" s="8"/>
      <c r="T52" s="8"/>
      <c r="U52" s="8"/>
      <c r="V52" s="8"/>
      <c r="W52" s="8"/>
      <c r="X52" s="8"/>
      <c r="Y52" s="8"/>
      <c r="Z52" s="8"/>
      <c r="AA52" s="8"/>
      <c r="AB52" s="8"/>
      <c r="AC52" s="8"/>
      <c r="AD52" s="8"/>
    </row>
    <row r="53" ht="13.5" customHeight="1" spans="1:30" x14ac:dyDescent="0.25">
      <c r="A53" s="4"/>
      <c r="B53" s="4"/>
      <c r="C53" s="4"/>
      <c r="D53" s="197"/>
      <c r="E53" s="4"/>
      <c r="F53" s="201"/>
      <c r="G53" s="4"/>
      <c r="H53" s="4"/>
      <c r="I53" s="4"/>
      <c r="J53" s="4"/>
      <c r="K53" s="201"/>
      <c r="L53" s="4"/>
      <c r="M53" s="110"/>
      <c r="N53" s="199"/>
      <c r="O53" s="110"/>
      <c r="P53" s="4"/>
      <c r="Q53" s="4"/>
      <c r="R53" s="8"/>
      <c r="S53" s="8"/>
      <c r="T53" s="8"/>
      <c r="U53" s="8"/>
      <c r="V53" s="8"/>
      <c r="W53" s="8"/>
      <c r="X53" s="8"/>
      <c r="Y53" s="8"/>
      <c r="Z53" s="8"/>
      <c r="AA53" s="8"/>
      <c r="AB53" s="8"/>
      <c r="AC53" s="8"/>
      <c r="AD53" s="8"/>
    </row>
    <row r="54" ht="13.5" customHeight="1" spans="1:30" x14ac:dyDescent="0.25">
      <c r="A54" s="4"/>
      <c r="B54" s="122" t="str">
        <f>Summary!C75</f>
        <v>Profitability</v>
      </c>
      <c r="C54" s="122"/>
      <c r="D54" s="197"/>
      <c r="E54" s="4"/>
      <c r="F54" s="201"/>
      <c r="G54" s="4"/>
      <c r="H54" s="4"/>
      <c r="I54" s="4"/>
      <c r="J54" s="4"/>
      <c r="K54" s="201"/>
      <c r="L54" s="4"/>
      <c r="M54" s="110"/>
      <c r="N54" s="199"/>
      <c r="O54" s="110"/>
      <c r="P54" s="4"/>
      <c r="Q54" s="4"/>
      <c r="R54" s="8"/>
      <c r="S54" s="8"/>
      <c r="T54" s="8"/>
      <c r="U54" s="8"/>
      <c r="V54" s="8"/>
      <c r="W54" s="8"/>
      <c r="X54" s="8"/>
      <c r="Y54" s="8"/>
      <c r="Z54" s="8"/>
      <c r="AA54" s="8"/>
      <c r="AB54" s="8"/>
      <c r="AC54" s="8"/>
      <c r="AD54" s="8"/>
    </row>
    <row r="55" ht="13.5" customHeight="1" spans="1:30" x14ac:dyDescent="0.25">
      <c r="A55" s="4"/>
      <c r="B55" s="130" t="str">
        <f>Summary!C80</f>
        <v>Return on Assets (ROA)</v>
      </c>
      <c r="C55" s="4"/>
      <c r="D55" s="197" t="e">
        <f>Summary!T80</f>
        <v>#DIV/0!</v>
      </c>
      <c r="E55" s="144" t="e">
        <f>Summary!U80</f>
        <v>#DIV/0!</v>
      </c>
      <c r="F55" s="145" t="e">
        <f>Summary!V80</f>
        <v>#DIV/0!</v>
      </c>
      <c r="G55" s="144">
        <f>Summary!W80</f>
        <v>0.07658789301855934</v>
      </c>
      <c r="H55" s="144">
        <f>Summary!X80</f>
        <v>0.07234514330861382</v>
      </c>
      <c r="I55" s="144">
        <f>Summary!Y80</f>
        <v>0.08037794228566307</v>
      </c>
      <c r="J55" s="144">
        <f>Summary!Z80</f>
        <v>0.08297254511184285</v>
      </c>
      <c r="K55" s="145">
        <f>Summary!AA80</f>
        <v>0.0874181285331858</v>
      </c>
      <c r="L55" s="4"/>
      <c r="M55" s="110" t="e">
        <f>AVERAGE(D55:F55)</f>
        <v>#DIV/0!</v>
      </c>
      <c r="N55" s="199"/>
      <c r="O55" s="110">
        <f>AVERAGE(G55:K55)</f>
        <v>0.07994033045157298</v>
      </c>
      <c r="P55" s="4"/>
      <c r="Q55" s="4"/>
      <c r="R55" s="8"/>
      <c r="S55" s="8"/>
      <c r="T55" s="8"/>
      <c r="U55" s="8"/>
      <c r="V55" s="8"/>
      <c r="W55" s="8"/>
      <c r="X55" s="8"/>
      <c r="Y55" s="8"/>
      <c r="Z55" s="8"/>
      <c r="AA55" s="8"/>
      <c r="AB55" s="8"/>
      <c r="AC55" s="8"/>
      <c r="AD55" s="8"/>
    </row>
    <row r="56" ht="13.5" customHeight="1" spans="1:30" x14ac:dyDescent="0.25">
      <c r="A56" s="4"/>
      <c r="B56" s="130" t="str">
        <f>Summary!C81</f>
        <v>Return on Equity (ROE)</v>
      </c>
      <c r="C56" s="4"/>
      <c r="D56" s="197" t="e">
        <f>Summary!T81</f>
        <v>#DIV/0!</v>
      </c>
      <c r="E56" s="144" t="e">
        <f>Summary!U81</f>
        <v>#DIV/0!</v>
      </c>
      <c r="F56" s="145" t="e">
        <f>Summary!V81</f>
        <v>#DIV/0!</v>
      </c>
      <c r="G56" s="144">
        <f>Summary!W81</f>
        <v>0.22028494355005232</v>
      </c>
      <c r="H56" s="144">
        <f>Summary!X81</f>
        <v>0.2085328318278959</v>
      </c>
      <c r="I56" s="144">
        <f>Summary!Y81</f>
        <v>0.231630191904312</v>
      </c>
      <c r="J56" s="144">
        <f>Summary!Z81</f>
        <v>0.2400414786477465</v>
      </c>
      <c r="K56" s="145">
        <f>Summary!AA81</f>
        <v>0.2561939937790455</v>
      </c>
      <c r="L56" s="4"/>
      <c r="M56" s="110" t="e">
        <f>AVERAGE(D56:F56)</f>
        <v>#DIV/0!</v>
      </c>
      <c r="N56" s="199"/>
      <c r="O56" s="110">
        <f>AVERAGE(G56:K56)</f>
        <v>0.23133668794181045</v>
      </c>
      <c r="P56" s="4"/>
      <c r="Q56" s="4"/>
      <c r="R56" s="8"/>
      <c r="S56" s="8"/>
      <c r="T56" s="8"/>
      <c r="U56" s="8"/>
      <c r="V56" s="8"/>
      <c r="W56" s="8"/>
      <c r="X56" s="8"/>
      <c r="Y56" s="8"/>
      <c r="Z56" s="8"/>
      <c r="AA56" s="8"/>
      <c r="AB56" s="8"/>
      <c r="AC56" s="8"/>
      <c r="AD56" s="8"/>
    </row>
    <row r="57" ht="13.5" customHeight="1" spans="1:30" x14ac:dyDescent="0.25">
      <c r="A57" s="4"/>
      <c r="B57" s="130" t="s">
        <v>151</v>
      </c>
      <c r="C57" s="4"/>
      <c r="D57" s="197" t="e">
        <f>Summary!T82</f>
        <v>#DIV/0!</v>
      </c>
      <c r="E57" s="144" t="e">
        <f>Summary!U82</f>
        <v>#DIV/0!</v>
      </c>
      <c r="F57" s="145" t="e">
        <f>Summary!V82</f>
        <v>#DIV/0!</v>
      </c>
      <c r="G57" s="144">
        <f>Summary!W82</f>
        <v>0.10582211479103827</v>
      </c>
      <c r="H57" s="144">
        <f>Summary!X82</f>
        <v>0.1051832145064792</v>
      </c>
      <c r="I57" s="144">
        <f>Summary!Y82</f>
        <v>0.11684763493991472</v>
      </c>
      <c r="J57" s="144">
        <f>Summary!Z82</f>
        <v>0.12135223108082115</v>
      </c>
      <c r="K57" s="145">
        <f>Summary!AA82</f>
        <v>0.12846772626269856</v>
      </c>
      <c r="L57" s="4"/>
      <c r="M57" s="110" t="e">
        <f>AVERAGE(D57:F57)</f>
        <v>#DIV/0!</v>
      </c>
      <c r="N57" s="199"/>
      <c r="O57" s="110">
        <f>AVERAGE(G57:K57)</f>
        <v>0.11553458431619039</v>
      </c>
      <c r="P57" s="4"/>
      <c r="Q57" s="4"/>
      <c r="R57" s="8"/>
      <c r="S57" s="8"/>
      <c r="T57" s="8"/>
      <c r="U57" s="8"/>
      <c r="V57" s="8"/>
      <c r="W57" s="8"/>
      <c r="X57" s="8"/>
      <c r="Y57" s="8"/>
      <c r="Z57" s="8"/>
      <c r="AA57" s="8"/>
      <c r="AB57" s="8"/>
      <c r="AC57" s="8"/>
      <c r="AD57" s="8"/>
    </row>
    <row r="58" ht="15" customHeight="1" hidden="1" spans="1:30" x14ac:dyDescent="0.25" outlineLevel="1" collapsed="1">
      <c r="A58" s="4"/>
      <c r="B58" s="4"/>
      <c r="C58" s="4"/>
      <c r="D58" s="4"/>
      <c r="E58" s="4"/>
      <c r="F58" s="201"/>
      <c r="G58" s="4"/>
      <c r="H58" s="4"/>
      <c r="I58" s="4"/>
      <c r="J58" s="4"/>
      <c r="K58" s="201"/>
      <c r="L58" s="4"/>
      <c r="M58" s="110"/>
      <c r="N58" s="199"/>
      <c r="O58" s="110"/>
      <c r="P58" s="4"/>
      <c r="Q58" s="4"/>
      <c r="R58" s="8"/>
      <c r="S58" s="8"/>
      <c r="T58" s="8"/>
      <c r="U58" s="8"/>
      <c r="V58" s="8"/>
      <c r="W58" s="8"/>
      <c r="X58" s="8"/>
      <c r="Y58" s="8"/>
      <c r="Z58" s="8"/>
      <c r="AA58" s="8"/>
      <c r="AB58" s="8"/>
      <c r="AC58" s="8"/>
      <c r="AD58" s="8"/>
    </row>
    <row r="59" ht="13.5" customHeight="1" hidden="1" spans="1:30" x14ac:dyDescent="0.25" outlineLevel="1" collapsed="1">
      <c r="A59" s="4"/>
      <c r="B59" s="122" t="str">
        <f>Summary!C84</f>
        <v>Coverage</v>
      </c>
      <c r="C59" s="122"/>
      <c r="D59" s="197"/>
      <c r="E59" s="4"/>
      <c r="F59" s="201"/>
      <c r="G59" s="4"/>
      <c r="H59" s="4"/>
      <c r="I59" s="4"/>
      <c r="J59" s="4"/>
      <c r="K59" s="201"/>
      <c r="L59" s="4"/>
      <c r="M59" s="110"/>
      <c r="N59" s="199"/>
      <c r="O59" s="110"/>
      <c r="P59" s="4"/>
      <c r="Q59" s="4"/>
      <c r="R59" s="8"/>
      <c r="S59" s="8"/>
      <c r="T59" s="8"/>
      <c r="U59" s="8"/>
      <c r="V59" s="8"/>
      <c r="W59" s="8"/>
      <c r="X59" s="8"/>
      <c r="Y59" s="8"/>
      <c r="Z59" s="8"/>
      <c r="AA59" s="8"/>
      <c r="AB59" s="8"/>
      <c r="AC59" s="8"/>
      <c r="AD59" s="8"/>
    </row>
    <row r="60" ht="13.5" customHeight="1" hidden="1" spans="1:30" x14ac:dyDescent="0.25" outlineLevel="1" collapsed="1">
      <c r="A60" s="4"/>
      <c r="B60" s="130" t="s">
        <v>117</v>
      </c>
      <c r="C60" s="4"/>
      <c r="D60" s="197">
        <f>Summary!T85</f>
        <v>0</v>
      </c>
      <c r="E60" s="107">
        <f>Summary!U85</f>
        <v>0</v>
      </c>
      <c r="F60" s="108">
        <f>Summary!V85</f>
        <v>0</v>
      </c>
      <c r="G60" s="107">
        <f>Summary!W85</f>
        <v>1.2249999999999999</v>
      </c>
      <c r="H60" s="107">
        <f>Summary!X85</f>
        <v>-17</v>
      </c>
      <c r="I60" s="107">
        <f>Summary!Y85</f>
        <v>-62</v>
      </c>
      <c r="J60" s="107">
        <f>Summary!Z85</f>
        <v>-74</v>
      </c>
      <c r="K60" s="108">
        <f>Summary!AA85</f>
        <v>-98</v>
      </c>
      <c r="L60" s="4"/>
      <c r="M60" s="213">
        <f>AVERAGE(D60:F60)</f>
        <v>0</v>
      </c>
      <c r="N60" s="107"/>
      <c r="O60" s="213">
        <f>AVERAGE(G60:K60)</f>
        <v>-49.955</v>
      </c>
      <c r="P60" s="4"/>
      <c r="Q60" s="4"/>
      <c r="R60" s="8"/>
      <c r="S60" s="8"/>
      <c r="T60" s="8"/>
      <c r="U60" s="8"/>
      <c r="V60" s="8"/>
      <c r="W60" s="8"/>
      <c r="X60" s="8"/>
      <c r="Y60" s="8"/>
      <c r="Z60" s="8"/>
      <c r="AA60" s="8"/>
      <c r="AB60" s="8"/>
      <c r="AC60" s="8"/>
      <c r="AD60" s="8"/>
    </row>
    <row r="61" ht="13.5" customHeight="1" hidden="1" spans="1:30" x14ac:dyDescent="0.25" outlineLevel="1" collapsed="1">
      <c r="A61" s="4"/>
      <c r="B61" s="130" t="s">
        <v>118</v>
      </c>
      <c r="C61" s="4"/>
      <c r="D61" s="197">
        <f>Summary!T86</f>
        <v>3807.2000000000003</v>
      </c>
      <c r="E61" s="127">
        <f>Summary!U86</f>
        <v>0</v>
      </c>
      <c r="F61" s="128">
        <f>Summary!V86</f>
        <v>0</v>
      </c>
      <c r="G61" s="127">
        <f>Summary!W86</f>
        <v>527.8620377467499</v>
      </c>
      <c r="H61" s="127">
        <f>Summary!X86</f>
        <v>2039.7437006269997</v>
      </c>
      <c r="I61" s="127">
        <f>Summary!Y86</f>
        <v>2054.90196135753</v>
      </c>
      <c r="J61" s="127">
        <f>Summary!Z86</f>
        <v>2115.5227836755053</v>
      </c>
      <c r="K61" s="128">
        <f>Summary!AA86</f>
        <v>2229.7814324122173</v>
      </c>
      <c r="L61" s="4"/>
      <c r="M61" s="214">
        <f>AVERAGE(D61:F61)</f>
        <v>1269.0666666666668</v>
      </c>
      <c r="N61" s="127"/>
      <c r="O61" s="214">
        <f>AVERAGE(G61:K61)</f>
        <v>1793.5623831638004</v>
      </c>
      <c r="P61" s="4"/>
      <c r="Q61" s="4"/>
      <c r="R61" s="8"/>
      <c r="S61" s="8"/>
      <c r="T61" s="8"/>
      <c r="U61" s="8"/>
      <c r="V61" s="8"/>
      <c r="W61" s="8"/>
      <c r="X61" s="8"/>
      <c r="Y61" s="8"/>
      <c r="Z61" s="8"/>
      <c r="AA61" s="8"/>
      <c r="AB61" s="8"/>
      <c r="AC61" s="8"/>
      <c r="AD61" s="8"/>
    </row>
    <row r="62" ht="13.5" customHeight="1" hidden="1" spans="1:30" x14ac:dyDescent="0.25" outlineLevel="1" collapsed="1">
      <c r="A62" s="4"/>
      <c r="B62" s="130" t="s">
        <v>152</v>
      </c>
      <c r="C62" s="4"/>
      <c r="D62" s="197" t="str">
        <f>Summary!T87</f>
        <v>N/A</v>
      </c>
      <c r="E62" s="147" t="str">
        <f>Summary!U87</f>
        <v>N/A</v>
      </c>
      <c r="F62" s="148" t="str">
        <f>Summary!V87</f>
        <v>N/A</v>
      </c>
      <c r="G62" s="147">
        <f>Summary!W87</f>
        <v>6.958693888931089</v>
      </c>
      <c r="H62" s="147">
        <f>Summary!X87</f>
        <v>7.95295911185366</v>
      </c>
      <c r="I62" s="147">
        <f>Summary!Y87</f>
        <v>9.611481749784586</v>
      </c>
      <c r="J62" s="147">
        <f>Summary!Z87</f>
        <v>10.275592875138116</v>
      </c>
      <c r="K62" s="148">
        <f>Summary!AA87</f>
        <v>11.4620839521341</v>
      </c>
      <c r="L62" s="4"/>
      <c r="M62" s="212" t="e">
        <f>AVERAGE(D62:F62)</f>
        <v>#DIV/0!</v>
      </c>
      <c r="N62" s="147"/>
      <c r="O62" s="212">
        <f>AVERAGE(G62:K62)</f>
        <v>9.25216231556831</v>
      </c>
      <c r="P62" s="4"/>
      <c r="Q62" s="4"/>
      <c r="R62" s="8"/>
      <c r="S62" s="8"/>
      <c r="T62" s="8"/>
      <c r="U62" s="8"/>
      <c r="V62" s="8"/>
      <c r="W62" s="8"/>
      <c r="X62" s="8"/>
      <c r="Y62" s="8"/>
      <c r="Z62" s="8"/>
      <c r="AA62" s="8"/>
      <c r="AB62" s="8"/>
      <c r="AC62" s="8"/>
      <c r="AD62" s="8"/>
    </row>
    <row r="63" ht="13.5" customHeight="1" hidden="1" spans="1:30" x14ac:dyDescent="0.25" outlineLevel="1" collapsed="1">
      <c r="A63" s="4"/>
      <c r="B63" s="130" t="s">
        <v>153</v>
      </c>
      <c r="C63" s="4"/>
      <c r="D63" s="197" t="str">
        <f>Summary!T88</f>
        <v>N/A</v>
      </c>
      <c r="E63" s="147" t="str">
        <f>Summary!U88</f>
        <v>N/A</v>
      </c>
      <c r="F63" s="148" t="str">
        <f>Summary!V88</f>
        <v>N/A</v>
      </c>
      <c r="G63" s="147">
        <f>Summary!W88</f>
        <v>10.321414224603222</v>
      </c>
      <c r="H63" s="147">
        <f>Summary!X88</f>
        <v>12.030769294724596</v>
      </c>
      <c r="I63" s="147">
        <f>Summary!Y88</f>
        <v>14.187370951452843</v>
      </c>
      <c r="J63" s="147">
        <f>Summary!Z88</f>
        <v>15.239074557813248</v>
      </c>
      <c r="K63" s="148">
        <f>Summary!AA88</f>
        <v>16.99238224490516</v>
      </c>
      <c r="L63" s="4"/>
      <c r="M63" s="212" t="e">
        <f>AVERAGE(D63:F63)</f>
        <v>#DIV/0!</v>
      </c>
      <c r="N63" s="147"/>
      <c r="O63" s="212">
        <f>AVERAGE(G63:K63)</f>
        <v>13.75420225469981</v>
      </c>
      <c r="P63" s="4"/>
      <c r="Q63" s="4"/>
      <c r="R63" s="8"/>
      <c r="S63" s="8"/>
      <c r="T63" s="8"/>
      <c r="U63" s="8"/>
      <c r="V63" s="8"/>
      <c r="W63" s="8"/>
      <c r="X63" s="8"/>
      <c r="Y63" s="8"/>
      <c r="Z63" s="8"/>
      <c r="AA63" s="8"/>
      <c r="AB63" s="8"/>
      <c r="AC63" s="8"/>
      <c r="AD63" s="8"/>
    </row>
    <row r="64" ht="13.5" customHeight="1" hidden="1" spans="1:30" x14ac:dyDescent="0.25" outlineLevel="1" collapsed="1">
      <c r="A64" s="4"/>
      <c r="B64" s="130" t="s">
        <v>154</v>
      </c>
      <c r="D64" s="197" t="str">
        <f>Summary!T89</f>
        <v>N/A</v>
      </c>
      <c r="E64" s="147" t="str">
        <f>Summary!U89</f>
        <v>N/A</v>
      </c>
      <c r="F64" s="148" t="str">
        <f>Summary!V89</f>
        <v>N/A</v>
      </c>
      <c r="G64" s="147">
        <f>Summary!W89</f>
        <v>4.573728050423562</v>
      </c>
      <c r="H64" s="147">
        <f>Summary!X89</f>
        <v>7.755652551291078</v>
      </c>
      <c r="I64" s="147">
        <f>Summary!Y89</f>
        <v>9.431974391799205</v>
      </c>
      <c r="J64" s="147">
        <f>Summary!Z89</f>
        <v>10.203554269144522</v>
      </c>
      <c r="K64" s="148">
        <f>Summary!AA89</f>
        <v>11.363326826314282</v>
      </c>
      <c r="L64" s="4"/>
      <c r="M64" s="212" t="e">
        <f>AVERAGE(D64:F64)</f>
        <v>#DIV/0!</v>
      </c>
      <c r="N64" s="147"/>
      <c r="O64" s="212">
        <f>AVERAGE(G64:K64)</f>
        <v>8.665647217794529</v>
      </c>
      <c r="P64" s="4"/>
      <c r="Q64" s="4"/>
      <c r="R64" s="8"/>
      <c r="S64" s="8"/>
      <c r="T64" s="8"/>
      <c r="U64" s="8"/>
      <c r="V64" s="8"/>
      <c r="W64" s="8"/>
      <c r="X64" s="8"/>
      <c r="Y64" s="8"/>
      <c r="Z64" s="8"/>
      <c r="AA64" s="8"/>
      <c r="AB64" s="8"/>
      <c r="AC64" s="8"/>
      <c r="AD64" s="8"/>
    </row>
    <row r="65" ht="13.5" customHeight="1" spans="1:30" x14ac:dyDescent="0.25">
      <c r="A65" s="4"/>
      <c r="B65" s="130"/>
      <c r="C65" s="8"/>
      <c r="D65" s="197"/>
      <c r="E65" s="4"/>
      <c r="F65" s="201"/>
      <c r="G65" s="4"/>
      <c r="H65" s="4"/>
      <c r="I65" s="4"/>
      <c r="J65" s="4"/>
      <c r="K65" s="201"/>
      <c r="L65" s="4"/>
      <c r="M65" s="110"/>
      <c r="N65" s="199"/>
      <c r="O65" s="110"/>
      <c r="P65" s="4"/>
      <c r="Q65" s="4"/>
      <c r="R65" s="8"/>
      <c r="S65" s="8"/>
      <c r="T65" s="8"/>
      <c r="U65" s="8"/>
      <c r="V65" s="8"/>
      <c r="W65" s="8"/>
      <c r="X65" s="8"/>
      <c r="Y65" s="8"/>
      <c r="Z65" s="8"/>
      <c r="AA65" s="8"/>
      <c r="AB65" s="8"/>
      <c r="AC65" s="8"/>
      <c r="AD65" s="8"/>
    </row>
    <row r="66" ht="13.5" customHeight="1" spans="1:30" x14ac:dyDescent="0.25">
      <c r="A66" s="4"/>
      <c r="B66" s="122" t="str">
        <f>Summary!C96</f>
        <v>Efficiency</v>
      </c>
      <c r="C66" s="122"/>
      <c r="D66" s="197"/>
      <c r="E66" s="4"/>
      <c r="F66" s="201"/>
      <c r="G66" s="4"/>
      <c r="H66" s="4"/>
      <c r="I66" s="4"/>
      <c r="J66" s="4"/>
      <c r="K66" s="201"/>
      <c r="L66" s="4"/>
      <c r="M66" s="110"/>
      <c r="N66" s="199"/>
      <c r="O66" s="110"/>
      <c r="P66" s="4"/>
      <c r="Q66" s="4"/>
      <c r="R66" s="8"/>
      <c r="S66" s="8"/>
      <c r="T66" s="8"/>
      <c r="U66" s="8"/>
      <c r="V66" s="8"/>
      <c r="W66" s="8"/>
      <c r="X66" s="8"/>
      <c r="Y66" s="8"/>
      <c r="Z66" s="8"/>
      <c r="AA66" s="8"/>
      <c r="AB66" s="8"/>
      <c r="AC66" s="8"/>
      <c r="AD66" s="8"/>
    </row>
    <row r="67" ht="13.5" customHeight="1" spans="1:30" x14ac:dyDescent="0.25">
      <c r="A67" s="4"/>
      <c r="B67" s="130" t="str">
        <f>Summary!C97</f>
        <v>Asset Turnover</v>
      </c>
      <c r="C67" s="8"/>
      <c r="D67" s="197" t="e">
        <f>Summary!T97</f>
        <v>#DIV/0!</v>
      </c>
      <c r="E67" s="151" t="e">
        <f>Summary!U97</f>
        <v>#DIV/0!</v>
      </c>
      <c r="F67" s="152" t="e">
        <f>Summary!V97</f>
        <v>#DIV/0!</v>
      </c>
      <c r="G67" s="151">
        <f>Summary!W97</f>
        <v>0.5111293214033819</v>
      </c>
      <c r="H67" s="151">
        <f>Summary!X97</f>
        <v>0.5260530460464788</v>
      </c>
      <c r="I67" s="151">
        <f>Summary!Y97</f>
        <v>0.5425133344512708</v>
      </c>
      <c r="J67" s="151">
        <f>Summary!Z97</f>
        <v>0.565108616163914</v>
      </c>
      <c r="K67" s="152">
        <f>Summary!AA97</f>
        <v>0.5862218864002092</v>
      </c>
      <c r="L67" s="4"/>
      <c r="M67" s="212" t="e">
        <f>AVERAGE(D67:F67)</f>
        <v>#DIV/0!</v>
      </c>
      <c r="N67" s="151"/>
      <c r="O67" s="212">
        <f>AVERAGE(G67:K67)</f>
        <v>0.546205240893051</v>
      </c>
      <c r="P67" s="4"/>
      <c r="Q67" s="4"/>
      <c r="R67" s="8"/>
      <c r="S67" s="8"/>
      <c r="T67" s="8"/>
      <c r="U67" s="8"/>
      <c r="V67" s="8"/>
      <c r="W67" s="8"/>
      <c r="X67" s="8"/>
      <c r="Y67" s="8"/>
      <c r="Z67" s="8"/>
      <c r="AA67" s="8"/>
      <c r="AB67" s="8"/>
      <c r="AC67" s="8"/>
      <c r="AD67" s="8"/>
    </row>
    <row r="68" ht="13.5" customHeight="1" spans="1:30" x14ac:dyDescent="0.25">
      <c r="A68" s="4"/>
      <c r="B68" s="130" t="str">
        <f>Summary!C98</f>
        <v>Days Sales Outstanding</v>
      </c>
      <c r="C68" s="4"/>
      <c r="D68" s="197">
        <f>Summary!T98</f>
        <v>0</v>
      </c>
      <c r="E68" s="153">
        <f>Summary!U98</f>
        <v>0</v>
      </c>
      <c r="F68" s="154">
        <f>Summary!V98</f>
        <v>0</v>
      </c>
      <c r="G68" s="153">
        <f>Summary!W98</f>
        <v>21.228705529463138</v>
      </c>
      <c r="H68" s="153">
        <f>Summary!X98</f>
        <v>41.02031067985213</v>
      </c>
      <c r="I68" s="153">
        <f>Summary!Y98</f>
        <v>41.6</v>
      </c>
      <c r="J68" s="153">
        <f>Summary!Z98</f>
        <v>41</v>
      </c>
      <c r="K68" s="154">
        <f>Summary!AA98</f>
        <v>41</v>
      </c>
      <c r="L68" s="4"/>
      <c r="M68" s="215">
        <f>AVERAGE(D68:F68)</f>
        <v>0</v>
      </c>
      <c r="N68" s="153"/>
      <c r="O68" s="215">
        <f>AVERAGE(G68:K68)</f>
        <v>37.16980324186305</v>
      </c>
      <c r="P68" s="4"/>
      <c r="Q68" s="4"/>
      <c r="R68" s="8"/>
      <c r="S68" s="8"/>
      <c r="T68" s="8"/>
      <c r="U68" s="8"/>
      <c r="V68" s="8"/>
      <c r="W68" s="8"/>
      <c r="X68" s="8"/>
      <c r="Y68" s="8"/>
      <c r="Z68" s="8"/>
      <c r="AA68" s="8"/>
      <c r="AB68" s="8"/>
      <c r="AC68" s="8"/>
      <c r="AD68" s="8"/>
    </row>
    <row r="69" ht="13.5" customHeight="1" spans="1:30" x14ac:dyDescent="0.25">
      <c r="A69" s="4"/>
      <c r="B69" s="130" t="str">
        <f>Summary!C99</f>
        <v>Days Inventory Outstanding</v>
      </c>
      <c r="C69" s="4"/>
      <c r="D69" s="197" t="e">
        <f>Summary!T99</f>
        <v>#DIV/0!</v>
      </c>
      <c r="E69" s="153" t="e">
        <f>Summary!U99</f>
        <v>#DIV/0!</v>
      </c>
      <c r="F69" s="154" t="e">
        <f>Summary!V99</f>
        <v>#DIV/0!</v>
      </c>
      <c r="G69" s="153">
        <f>Summary!W99</f>
        <v>0</v>
      </c>
      <c r="H69" s="153">
        <f>Summary!X99</f>
        <v>0</v>
      </c>
      <c r="I69" s="153">
        <f>Summary!Y99</f>
        <v>0</v>
      </c>
      <c r="J69" s="153">
        <f>Summary!Z99</f>
        <v>0</v>
      </c>
      <c r="K69" s="154">
        <f>Summary!AA99</f>
        <v>0</v>
      </c>
      <c r="L69" s="4"/>
      <c r="M69" s="215" t="e">
        <f>AVERAGE(D69:F69)</f>
        <v>#DIV/0!</v>
      </c>
      <c r="N69" s="153"/>
      <c r="O69" s="215">
        <f>AVERAGE(G69:K69)</f>
        <v>0</v>
      </c>
      <c r="P69" s="4"/>
      <c r="Q69" s="4"/>
      <c r="R69" s="8"/>
      <c r="S69" s="8"/>
      <c r="T69" s="8"/>
      <c r="U69" s="8"/>
      <c r="V69" s="8"/>
      <c r="W69" s="8"/>
      <c r="X69" s="8"/>
      <c r="Y69" s="8"/>
      <c r="Z69" s="8"/>
      <c r="AA69" s="8"/>
      <c r="AB69" s="8"/>
      <c r="AC69" s="8"/>
      <c r="AD69" s="8"/>
    </row>
    <row r="70" ht="13.5" customHeight="1" spans="1:30" x14ac:dyDescent="0.25">
      <c r="A70" s="4"/>
      <c r="B70" s="130" t="str">
        <f>Summary!C100</f>
        <v>Days Payables Outstanding</v>
      </c>
      <c r="C70" s="4"/>
      <c r="D70" s="197" t="e">
        <f>Summary!T100</f>
        <v>#DIV/0!</v>
      </c>
      <c r="E70" s="153" t="e">
        <f>Summary!U100</f>
        <v>#DIV/0!</v>
      </c>
      <c r="F70" s="154" t="e">
        <f>Summary!V100</f>
        <v>#DIV/0!</v>
      </c>
      <c r="G70" s="153">
        <f>Summary!W100</f>
        <v>93.2336956521739</v>
      </c>
      <c r="H70" s="153">
        <f>Summary!X100</f>
        <v>46.99992364313107</v>
      </c>
      <c r="I70" s="153">
        <f>Summary!Y100</f>
        <v>47.5</v>
      </c>
      <c r="J70" s="153">
        <f>Summary!Z100</f>
        <v>47</v>
      </c>
      <c r="K70" s="154">
        <f>Summary!AA100</f>
        <v>47</v>
      </c>
      <c r="L70" s="4"/>
      <c r="M70" s="215" t="e">
        <f>AVERAGE(D70:F70)</f>
        <v>#DIV/0!</v>
      </c>
      <c r="N70" s="153"/>
      <c r="O70" s="215">
        <f>AVERAGE(G70:K70)</f>
        <v>56.34672385906099</v>
      </c>
      <c r="P70" s="4"/>
      <c r="Q70" s="4"/>
      <c r="R70" s="8"/>
      <c r="S70" s="8"/>
      <c r="T70" s="8"/>
      <c r="U70" s="8"/>
      <c r="V70" s="8"/>
      <c r="W70" s="8"/>
      <c r="X70" s="8"/>
      <c r="Y70" s="8"/>
      <c r="Z70" s="8"/>
      <c r="AA70" s="8"/>
      <c r="AB70" s="8"/>
      <c r="AC70" s="8"/>
      <c r="AD70" s="8"/>
    </row>
    <row r="71" ht="13.5" customHeight="1" spans="1:30" x14ac:dyDescent="0.25">
      <c r="A71" s="4"/>
      <c r="B71" s="130" t="str">
        <f>Summary!C101</f>
        <v>Cash Conversion Cycle</v>
      </c>
      <c r="C71" s="4"/>
      <c r="D71" s="197" t="e">
        <f>Summary!T101</f>
        <v>#DIV/0!</v>
      </c>
      <c r="E71" s="153" t="e">
        <f>Summary!U101</f>
        <v>#DIV/0!</v>
      </c>
      <c r="F71" s="154" t="e">
        <f>Summary!V101</f>
        <v>#DIV/0!</v>
      </c>
      <c r="G71" s="153">
        <f>Summary!W101</f>
        <v>-72.00499012271077</v>
      </c>
      <c r="H71" s="153">
        <f>Summary!X101</f>
        <v>-5.979612963278939</v>
      </c>
      <c r="I71" s="153">
        <f>Summary!Y101</f>
        <v>-5.899999999999999</v>
      </c>
      <c r="J71" s="153">
        <f>Summary!Z101</f>
        <v>-6</v>
      </c>
      <c r="K71" s="154">
        <f>Summary!AA101</f>
        <v>-6</v>
      </c>
      <c r="L71" s="4"/>
      <c r="M71" s="216" t="e">
        <f>AVERAGE(D71:F71)</f>
        <v>#DIV/0!</v>
      </c>
      <c r="N71" s="153"/>
      <c r="O71" s="216">
        <f>AVERAGE(G71:K71)</f>
        <v>-19.176920617197943</v>
      </c>
      <c r="P71" s="4"/>
      <c r="Q71" s="4"/>
      <c r="R71" s="8"/>
      <c r="S71" s="8"/>
      <c r="T71" s="8"/>
      <c r="U71" s="8"/>
      <c r="V71" s="8"/>
      <c r="W71" s="8"/>
      <c r="X71" s="8"/>
      <c r="Y71" s="8"/>
      <c r="Z71" s="8"/>
      <c r="AA71" s="8"/>
      <c r="AB71" s="8"/>
      <c r="AC71" s="8"/>
      <c r="AD71" s="8"/>
    </row>
    <row r="72" ht="13.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3.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3.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3.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3.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3.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3.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3.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3.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3.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3.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3.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3.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3.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3.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3.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3.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3.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3.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3.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3.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3.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3.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3.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3.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3.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3.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3.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3.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3.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3.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3.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3.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3.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3.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3.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3.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3.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3.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3.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3.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3.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3.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3.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3.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3.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3.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3.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3.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3.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3.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3.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3.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3.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3.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3.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3.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3.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3.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3.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3.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3.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3.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3.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3.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3.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3.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3.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3.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3.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3.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3.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3.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3.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3.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3.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3.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3.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3.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3.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3.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3.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3.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3.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3.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3.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3.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3.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3.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3.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3.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3.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3.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3.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3.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3.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3.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3.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3.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3.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3.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3.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3.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3.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3.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3.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3.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3.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3.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3.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3.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3.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3.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3.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3.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3.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3.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3.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3.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3.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3.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3.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3.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3.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3.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3.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3.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3.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3.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3.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3.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3.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3.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3.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3.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3.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3.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3.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3.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3.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3.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3.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3.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3.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3.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3.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3.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3.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3.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3.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3.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3.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3.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3.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3.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3.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3.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3.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3.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3.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3.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3.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3.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3.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3.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3.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3.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3.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3.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3.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3.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3.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3.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3.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3.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3.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3.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3.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3.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3.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3.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3.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3.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3.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3.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3.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3.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3.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3.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3.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3.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3.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3.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3.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3.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3.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3.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3.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3.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3.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3.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3.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3.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3.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3.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3.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3.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3.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3.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3.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3.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3.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3.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3.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3.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3.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3.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3.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3.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3.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3.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3.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3.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3.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3.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3.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3.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3.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3.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3.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3.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3.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3.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3.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3.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3.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3.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3.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3.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3.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3.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3.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3.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3.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3.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3.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3.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3.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3.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3.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3.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3.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3.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3.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3.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3.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3.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3.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3.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3.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3.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3.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3.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3.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3.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3.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3.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3.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3.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3.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3.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3.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3.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3.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3.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3.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3.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3.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3.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3.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3.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3.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3.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3.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3.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3.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3.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3.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3.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3.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3.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3.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3.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3.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3.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3.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3.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3.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3.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3.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3.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3.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3.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3.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3.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3.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3.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3.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3.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3.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3.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3.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3.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3.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3.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3.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3.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3.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3.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3.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3.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3.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3.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3.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3.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3.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3.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3.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3.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3.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3.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3.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3.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3.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3.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3.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3.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3.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3.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3.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3.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3.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3.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3.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3.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3.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3.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3.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3.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3.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3.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3.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3.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3.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3.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3.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3.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3.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3.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3.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3.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3.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3.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3.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3.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3.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3.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3.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3.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3.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3.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3.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3.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3.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3.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3.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3.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3.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3.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3.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3.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3.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3.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3.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3.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3.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3.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3.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3.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3.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3.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3.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3.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3.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3.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3.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3.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3.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3.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3.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3.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3.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3.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3.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3.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3.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3.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3.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3.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3.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3.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3.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3.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3.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3.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3.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3.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3.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3.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3.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3.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3.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3.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3.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3.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3.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3.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3.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3.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3.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3.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3.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3.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3.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3.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3.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3.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3.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3.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3.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3.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3.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3.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3.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3.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3.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3.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3.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3.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3.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3.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3.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3.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3.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3.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3.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3.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3.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3.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3.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3.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3.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3.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3.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3.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3.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3.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3.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3.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3.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3.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3.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3.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3.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3.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3.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3.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3.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3.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3.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3.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3.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3.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3.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3.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3.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3.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3.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3.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3.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3.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3.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3.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3.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3.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3.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3.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3.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3.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3.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3.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3.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3.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3.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3.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3.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3.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3.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3.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3.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3.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3.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3.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3.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3.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3.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3.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3.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3.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3.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3.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3.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3.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3.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3.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3.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3.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3.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3.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3.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3.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3.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3.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3.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3.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3.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3.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3.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3.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3.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3.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3.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3.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3.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3.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3.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3.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3.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3.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3.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3.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3.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3.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3.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3.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3.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3.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3.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3.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3.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3.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3.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3.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3.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3.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3.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3.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3.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3.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3.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3.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3.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3.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3.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3.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3.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3.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3.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3.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3.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3.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3.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3.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3.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3.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3.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3.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3.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3.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3.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3.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3.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3.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3.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3.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3.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3.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3.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3.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3.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3.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3.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3.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3.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3.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3.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3.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3.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3.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3.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3.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3.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3.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3.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3.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3.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3.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3.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3.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3.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3.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3.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3.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3.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3.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3.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3.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3.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3.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3.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3.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3.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3.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3.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3.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3.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3.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3.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3.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3.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3.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3.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3.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3.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3.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3.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3.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3.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3.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3.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3.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3.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3.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3.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3.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3.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3.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3.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3.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3.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3.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3.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3.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3.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3.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3.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3.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3.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3.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3.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3.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3.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3.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3.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3.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3.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3.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3.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3.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3.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3.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3.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3.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3.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3.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3.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3.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3.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3.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3.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3.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3.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3.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3.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3.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3.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3.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3.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3.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3.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3.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3.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3.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3.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3.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3.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3.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3.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3.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3.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3.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3.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3.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3.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3.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3.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3.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3.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3.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3.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3.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3.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3.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3.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3.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3.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3.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3.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3.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3.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3.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3.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3.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3.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3.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3.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3.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3.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3.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3.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3.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3.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3.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3.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3.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3.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3.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3.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3.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3.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3.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3.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3.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3.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3.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3.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3.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3.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3.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3.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3.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3.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3.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3.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3.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3.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3.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3.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3.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3.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3.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3.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3.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3.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3.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3.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3.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3.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3.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3.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3.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3.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3.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3.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3.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3.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3.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3.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3.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3.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3.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3.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3.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3.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3.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3.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3.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3.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3.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3.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3.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3.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3.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3.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3.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3.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3.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3.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3.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3.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3.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3.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3.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3.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3.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3.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3.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3.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3.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3.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3.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3.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3.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3.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3.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3.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3.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3.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3.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3.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3.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3.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3.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3.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3.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3.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3.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3.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3.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3.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3.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3.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3.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3.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3.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3.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3.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3.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3.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3.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3.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3.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3.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3.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3.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3.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3.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3.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3.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3.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3.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3.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3.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3.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3.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3.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3.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3.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3.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3.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3.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3.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3.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3.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3.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3.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3.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3.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3.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3.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3.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3.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3.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3.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3.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3.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3.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3.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3.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3.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3.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3.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3.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3.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3.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3.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3.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3.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3.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3.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3.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3.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3.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3.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3.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3.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3.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3.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3.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3.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3.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3.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3.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3.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3.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3.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3.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3.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3.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3.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3.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3.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3.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3.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3.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3.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3.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3.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3.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
      <c r="B1" s="1"/>
      <c r="C1" s="2" t="str">
        <f>Company_Name&amp;" - "&amp;MID(CELL("filename",A1),FIND("]",CELL("filename",A1))+1,255)&amp;": "&amp;Case_Scenario&amp;" Case"</f>
        <v>Republic Services, Inc. - Football Field: Base Case</v>
      </c>
      <c r="D1" s="1"/>
      <c r="E1" s="1"/>
      <c r="F1" s="1"/>
      <c r="G1" s="1"/>
      <c r="H1" s="1"/>
      <c r="I1" s="1"/>
      <c r="J1" s="1"/>
      <c r="K1" s="1"/>
      <c r="L1" s="1"/>
      <c r="M1" s="1"/>
      <c r="N1" s="1"/>
      <c r="O1" s="1"/>
      <c r="P1" s="1"/>
      <c r="Q1" s="1"/>
      <c r="R1" s="1"/>
      <c r="S1" s="1"/>
      <c r="T1" s="1"/>
      <c r="U1" s="1"/>
      <c r="V1" s="1"/>
      <c r="W1" s="217"/>
      <c r="X1" s="1"/>
      <c r="Y1" s="1"/>
      <c r="Z1" s="1"/>
    </row>
    <row r="2" ht="13.5" customHeight="1"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ht="13.5" customHeight="1" spans="1:26" x14ac:dyDescent="0.25">
      <c r="A3" s="7"/>
      <c r="B3" s="8"/>
      <c r="C3" s="8"/>
      <c r="D3" s="8"/>
      <c r="E3" s="8"/>
      <c r="F3" s="8"/>
      <c r="G3" s="8"/>
      <c r="H3" s="8"/>
      <c r="I3" s="8"/>
      <c r="J3" s="8"/>
      <c r="K3" s="8"/>
      <c r="L3" s="8"/>
      <c r="M3" s="8"/>
      <c r="N3" s="8"/>
      <c r="O3" s="8"/>
      <c r="P3" s="8"/>
      <c r="Q3" s="8"/>
      <c r="R3" s="8"/>
      <c r="S3" s="8"/>
      <c r="T3" s="8"/>
      <c r="U3" s="8"/>
      <c r="V3" s="8"/>
      <c r="W3" s="75"/>
      <c r="X3" s="8"/>
      <c r="Y3" s="8"/>
      <c r="Z3" s="8"/>
    </row>
    <row r="4" ht="13.5" customHeight="1" spans="1:26" x14ac:dyDescent="0.25">
      <c r="A4" s="218" t="s">
        <v>3</v>
      </c>
      <c r="B4" s="8"/>
      <c r="C4" s="8"/>
      <c r="D4" s="8"/>
      <c r="E4" s="8"/>
      <c r="F4" s="8"/>
      <c r="G4" s="8"/>
      <c r="H4" s="8"/>
      <c r="I4" s="8"/>
      <c r="J4" s="8"/>
      <c r="K4" s="8"/>
      <c r="L4" s="8"/>
      <c r="M4" s="8"/>
      <c r="N4" s="8"/>
      <c r="O4" s="101" t="s">
        <v>155</v>
      </c>
      <c r="P4" s="101"/>
      <c r="Q4" s="101"/>
      <c r="R4" s="101"/>
      <c r="S4" s="101"/>
      <c r="T4" s="219" t="s">
        <v>156</v>
      </c>
      <c r="U4" s="220" t="s">
        <v>157</v>
      </c>
      <c r="V4" s="221" t="s">
        <v>158</v>
      </c>
      <c r="W4" s="222" t="s">
        <v>3</v>
      </c>
      <c r="X4" s="8"/>
      <c r="Y4" s="8"/>
      <c r="Z4" s="8"/>
    </row>
    <row r="5" ht="13.5" customHeight="1" spans="1:26" x14ac:dyDescent="0.25">
      <c r="A5" s="8"/>
      <c r="B5" s="8"/>
      <c r="C5" s="8"/>
      <c r="D5" s="8"/>
      <c r="E5" s="8"/>
      <c r="F5" s="8"/>
      <c r="G5" s="8"/>
      <c r="H5" s="8"/>
      <c r="I5" s="8"/>
      <c r="J5" s="8"/>
      <c r="K5" s="8"/>
      <c r="L5" s="8"/>
      <c r="M5" s="8"/>
      <c r="N5" s="8"/>
      <c r="O5" s="8" t="e">
        <f>TEXT(Valuation!E108,"0.0%")&amp;" - "&amp;TEXT(Valuation!E110,"0.0%")&amp;" WACC"&amp;" &amp; "&amp;TEXT(Valuation!G106,"0.0%")&amp;" - "&amp;TEXT(Valuation!I106,"0.0%")&amp;" PGR"</f>
        <v>#DIV/0!</v>
      </c>
      <c r="P5" s="8"/>
      <c r="Q5" s="8"/>
      <c r="R5" s="8"/>
      <c r="S5" s="8"/>
      <c r="T5" s="223">
        <f>Valuation!G108</f>
        <v>269.8898558011553</v>
      </c>
      <c r="U5" s="224">
        <f>V5-T5</f>
        <v>-6.677713347365</v>
      </c>
      <c r="V5" s="223">
        <f>Valuation!I110</f>
        <v>263.2121424537903</v>
      </c>
      <c r="W5" s="75"/>
      <c r="X5" s="8"/>
      <c r="Y5" s="8"/>
      <c r="Z5" s="8"/>
    </row>
    <row r="6" ht="13.5" customHeight="1" spans="1:26" x14ac:dyDescent="0.25">
      <c r="A6" s="8"/>
      <c r="B6" s="8"/>
      <c r="C6" s="8"/>
      <c r="D6" s="8"/>
      <c r="E6" s="8"/>
      <c r="F6" s="8"/>
      <c r="G6" s="8"/>
      <c r="H6" s="8"/>
      <c r="I6" s="8"/>
      <c r="J6" s="8"/>
      <c r="K6" s="8"/>
      <c r="L6" s="8"/>
      <c r="M6" s="8"/>
      <c r="N6" s="8"/>
      <c r="O6" s="8" t="e">
        <f>TEXT(Valuation!E100,"0.0%")&amp;" - "&amp;TEXT(Valuation!E102,"0.0%")&amp;" WACC"&amp;" &amp; "&amp;TEXT(Valuation!G98,"0.0x")&amp;" - "&amp;TEXT(Valuation!I98,"0.0x")&amp;" Exit Multiple"</f>
        <v>#DIV/0!</v>
      </c>
      <c r="P6" s="8"/>
      <c r="Q6" s="8"/>
      <c r="R6" s="8"/>
      <c r="S6" s="8"/>
      <c r="T6" s="50">
        <f>Valuation!G100</f>
        <v>232.45367538794156</v>
      </c>
      <c r="U6" s="134">
        <f>V6-T6</f>
        <v>26.31198135179241</v>
      </c>
      <c r="V6" s="50">
        <f>Valuation!I102</f>
        <v>258.76565673973397</v>
      </c>
      <c r="W6" s="75"/>
      <c r="X6" s="8"/>
      <c r="Y6" s="8"/>
      <c r="Z6" s="8"/>
    </row>
    <row r="7" ht="13.5" customHeight="1" spans="1:26" x14ac:dyDescent="0.25">
      <c r="A7" s="8"/>
      <c r="B7" s="8"/>
      <c r="C7" s="8"/>
      <c r="D7" s="8"/>
      <c r="E7" s="8"/>
      <c r="F7" s="8"/>
      <c r="G7" s="8"/>
      <c r="H7" s="8"/>
      <c r="I7" s="8"/>
      <c r="J7" s="8"/>
      <c r="K7" s="8"/>
      <c r="L7" s="8"/>
      <c r="M7" s="8"/>
      <c r="N7" s="8"/>
      <c r="O7" s="8"/>
      <c r="P7" s="8"/>
      <c r="Q7" s="8"/>
      <c r="R7" s="8"/>
      <c r="S7" s="8"/>
      <c r="T7" s="134"/>
      <c r="U7" s="134"/>
      <c r="V7" s="134"/>
      <c r="W7" s="75"/>
      <c r="X7" s="8"/>
      <c r="Y7" s="8"/>
      <c r="Z7" s="8"/>
    </row>
    <row r="8" ht="13.5" customHeight="1" spans="1:26" x14ac:dyDescent="0.25">
      <c r="A8" s="8"/>
      <c r="B8" s="8"/>
      <c r="C8" s="8"/>
      <c r="D8" s="8"/>
      <c r="E8" s="8"/>
      <c r="F8" s="8"/>
      <c r="G8" s="8"/>
      <c r="H8" s="8"/>
      <c r="I8" s="8"/>
      <c r="J8" s="8"/>
      <c r="K8" s="8"/>
      <c r="L8" s="8"/>
      <c r="M8" s="8"/>
      <c r="N8" s="8"/>
      <c r="O8" s="8" t="str">
        <f>Valuation!F184&amp;": "&amp;TEXT(Valuation!G185,"0.0x")&amp;" - "&amp;TEXT(Valuation!I185,"0.0x")</f>
        <v>NTM EV/EBITDA Spread to Comps: 13.5x - 15.5x</v>
      </c>
      <c r="P8" s="8"/>
      <c r="Q8" s="8"/>
      <c r="R8" s="8"/>
      <c r="S8" s="8"/>
      <c r="T8" s="50">
        <f>Valuation!G187</f>
        <v>184.16510924395004</v>
      </c>
      <c r="U8" s="134">
        <f>V8-T8</f>
        <v>90.68841942192199</v>
      </c>
      <c r="V8" s="50">
        <f>Valuation!I189</f>
        <v>274.85352866587203</v>
      </c>
      <c r="W8" s="75"/>
      <c r="X8" s="8"/>
      <c r="Y8" s="8"/>
      <c r="Z8" s="8"/>
    </row>
    <row r="9" ht="13.5" customHeight="1" spans="1:26" x14ac:dyDescent="0.25">
      <c r="A9" s="8"/>
      <c r="B9" s="8"/>
      <c r="C9" s="8"/>
      <c r="D9" s="8"/>
      <c r="E9" s="8"/>
      <c r="F9" s="8"/>
      <c r="G9" s="8"/>
      <c r="H9" s="8"/>
      <c r="I9" s="8"/>
      <c r="J9" s="8"/>
      <c r="K9" s="8"/>
      <c r="L9" s="8"/>
      <c r="M9" s="8"/>
      <c r="N9" s="8"/>
      <c r="O9" s="8" t="str">
        <f>Valuation!F176&amp;": "&amp;TEXT(Valuation!G177,"0.0x")&amp;" - "&amp;TEXT(Valuation!I177,"0.0x")</f>
        <v>NTM EV/EBITDA: 13.6x - 15.6x</v>
      </c>
      <c r="P9" s="8"/>
      <c r="Q9" s="8"/>
      <c r="R9" s="8"/>
      <c r="S9" s="8"/>
      <c r="T9" s="50">
        <f>Valuation!G179</f>
        <v>186.5949825154175</v>
      </c>
      <c r="U9" s="134">
        <f>V9-T9</f>
        <v>91.22839126002586</v>
      </c>
      <c r="V9" s="50">
        <f>Valuation!I181</f>
        <v>277.8233737754434</v>
      </c>
      <c r="W9" s="75"/>
      <c r="X9" s="8"/>
      <c r="Y9" s="8"/>
      <c r="Z9" s="8"/>
    </row>
    <row r="10" ht="13.5" customHeight="1" spans="1:26" x14ac:dyDescent="0.25">
      <c r="A10" s="8"/>
      <c r="B10" s="8"/>
      <c r="C10" s="8"/>
      <c r="D10" s="8"/>
      <c r="E10" s="8"/>
      <c r="F10" s="8"/>
      <c r="G10" s="8"/>
      <c r="H10" s="8"/>
      <c r="I10" s="8"/>
      <c r="J10" s="8"/>
      <c r="K10" s="8"/>
      <c r="L10" s="8"/>
      <c r="M10" s="8"/>
      <c r="N10" s="8"/>
      <c r="O10" s="8" t="str">
        <f>Valuation!F168&amp;": "&amp;TEXT(Valuation!G169,"0.0x")&amp;" - "&amp;TEXT(Valuation!I169,"0.0x")</f>
        <v>NTM P/E Spread to Comps: 27.2x - 31.2x</v>
      </c>
      <c r="P10" s="8"/>
      <c r="Q10" s="8"/>
      <c r="R10" s="8"/>
      <c r="S10" s="8"/>
      <c r="T10" s="50" t="e">
        <f>Valuation!G171</f>
        <v>#DIV/0!</v>
      </c>
      <c r="U10" s="134" t="e">
        <f>V10-T10</f>
        <v>#DIV/0!</v>
      </c>
      <c r="V10" s="50" t="e">
        <f>Valuation!I173</f>
        <v>#DIV/0!</v>
      </c>
      <c r="W10" s="75"/>
      <c r="X10" s="8"/>
      <c r="Y10" s="8"/>
      <c r="Z10" s="8"/>
    </row>
    <row r="11" ht="13.5" customHeight="1" spans="1:26" x14ac:dyDescent="0.25">
      <c r="A11" s="8"/>
      <c r="B11" s="8"/>
      <c r="C11" s="8"/>
      <c r="D11" s="8"/>
      <c r="E11" s="8"/>
      <c r="F11" s="8"/>
      <c r="G11" s="8"/>
      <c r="H11" s="8"/>
      <c r="I11" s="8"/>
      <c r="J11" s="8"/>
      <c r="K11" s="8"/>
      <c r="L11" s="8"/>
      <c r="M11" s="8"/>
      <c r="N11" s="8"/>
      <c r="O11" s="8" t="str">
        <f>Valuation!F160&amp;": "&amp;TEXT(Valuation!G161,"0.0x")&amp;" - "&amp;TEXT(Valuation!I161,"0.0x")</f>
        <v>NTM P/E: 29.2x - 31.2x</v>
      </c>
      <c r="P11" s="8"/>
      <c r="Q11" s="8"/>
      <c r="R11" s="8"/>
      <c r="S11" s="8"/>
      <c r="T11" s="50" t="e">
        <f>Valuation!G163</f>
        <v>#DIV/0!</v>
      </c>
      <c r="U11" s="134" t="e">
        <f>V11-T11</f>
        <v>#DIV/0!</v>
      </c>
      <c r="V11" s="50" t="e">
        <f>Valuation!I165</f>
        <v>#DIV/0!</v>
      </c>
      <c r="W11" s="75"/>
      <c r="X11" s="8"/>
      <c r="Y11" s="8"/>
      <c r="Z11" s="8"/>
    </row>
    <row r="12" ht="13.5" customHeight="1" spans="1:26" x14ac:dyDescent="0.25">
      <c r="A12" s="8"/>
      <c r="B12" s="8"/>
      <c r="C12" s="8"/>
      <c r="D12" s="8"/>
      <c r="E12" s="8"/>
      <c r="F12" s="8"/>
      <c r="G12" s="8"/>
      <c r="H12" s="8"/>
      <c r="I12" s="8"/>
      <c r="J12" s="8"/>
      <c r="K12" s="8"/>
      <c r="L12" s="8"/>
      <c r="M12" s="8"/>
      <c r="N12" s="8"/>
      <c r="O12" s="8"/>
      <c r="P12" s="8"/>
      <c r="Q12" s="8"/>
      <c r="R12" s="8"/>
      <c r="S12" s="8"/>
      <c r="T12" s="50"/>
      <c r="U12" s="134"/>
      <c r="V12" s="50"/>
      <c r="W12" s="75"/>
      <c r="X12" s="8"/>
      <c r="Y12" s="8"/>
      <c r="Z12" s="8"/>
    </row>
    <row r="13" ht="13.5" customHeight="1" spans="1:26" x14ac:dyDescent="0.25">
      <c r="A13" s="8"/>
      <c r="B13" s="8"/>
      <c r="C13" s="8"/>
      <c r="D13" s="8"/>
      <c r="E13" s="8"/>
      <c r="F13" s="8"/>
      <c r="G13" s="8"/>
      <c r="H13" s="8"/>
      <c r="I13" s="8"/>
      <c r="J13" s="8"/>
      <c r="K13" s="8"/>
      <c r="L13" s="8"/>
      <c r="M13" s="8"/>
      <c r="N13" s="8"/>
      <c r="O13" s="8"/>
      <c r="P13" s="8"/>
      <c r="Q13" s="8"/>
      <c r="R13" s="8"/>
      <c r="S13" s="8"/>
      <c r="T13" s="225">
        <f>Valuation!G263</f>
        <v>151.01424554104</v>
      </c>
      <c r="U13" s="134">
        <f>V13-T13</f>
        <v>33.3273835192916</v>
      </c>
      <c r="V13" s="50">
        <f>Valuation!I263</f>
        <v>184.3416290603316</v>
      </c>
      <c r="W13" s="75"/>
      <c r="X13" s="8"/>
      <c r="Y13" s="8"/>
      <c r="Z13" s="8"/>
    </row>
    <row r="14" ht="13.5" customHeight="1" spans="1:26" x14ac:dyDescent="0.25">
      <c r="A14" s="8"/>
      <c r="B14" s="8"/>
      <c r="C14" s="8"/>
      <c r="D14" s="8"/>
      <c r="E14" s="8"/>
      <c r="F14" s="8"/>
      <c r="G14" s="8"/>
      <c r="H14" s="8"/>
      <c r="I14" s="8"/>
      <c r="J14" s="8"/>
      <c r="K14" s="8"/>
      <c r="L14" s="8"/>
      <c r="M14" s="8"/>
      <c r="N14" s="8"/>
      <c r="O14" s="8" t="str">
        <f>Valuation!F252&amp;": "&amp;TEXT(Valuation!G253,"0.0x")&amp;" - "&amp;TEXT(Valuation!I253,"0.0x")</f>
        <v>2006-2010 Late Cycle EV/EBITDA: 12.7x - 14.7x</v>
      </c>
      <c r="P14" s="8"/>
      <c r="Q14" s="8"/>
      <c r="R14" s="8"/>
      <c r="S14" s="8"/>
      <c r="T14" s="225">
        <f>Valuation!G255</f>
        <v>170.8512963446134</v>
      </c>
      <c r="U14" s="134">
        <f>V14-T14</f>
        <v>33.327383519291544</v>
      </c>
      <c r="V14" s="50">
        <f>Valuation!I255</f>
        <v>204.17867986390493</v>
      </c>
      <c r="W14" s="75"/>
      <c r="X14" s="8"/>
      <c r="Y14" s="8"/>
      <c r="Z14" s="8"/>
    </row>
    <row r="15" ht="13.5" customHeight="1" spans="1:26" x14ac:dyDescent="0.25">
      <c r="A15" s="8"/>
      <c r="B15" s="8"/>
      <c r="C15" s="8"/>
      <c r="D15" s="8"/>
      <c r="E15" s="8"/>
      <c r="F15" s="8"/>
      <c r="G15" s="8"/>
      <c r="H15" s="8"/>
      <c r="I15" s="8"/>
      <c r="J15" s="8"/>
      <c r="K15" s="8"/>
      <c r="L15" s="8"/>
      <c r="M15" s="8"/>
      <c r="N15" s="8"/>
      <c r="O15" s="8" t="str">
        <f>Valuation!F244&amp;": "&amp;TEXT(Valuation!G245,"0.0x")&amp;" - "&amp;TEXT(Valuation!I245,"0.0x")</f>
        <v>2006-2010 Late Cycle P/E Spread to Comps: 27.3x - 29.3x</v>
      </c>
      <c r="P15" s="8"/>
      <c r="Q15" s="8"/>
      <c r="R15" s="8"/>
      <c r="S15" s="8"/>
      <c r="T15" s="50" t="e">
        <f>Valuation!G247</f>
        <v>#DIV/0!</v>
      </c>
      <c r="U15" s="134" t="e">
        <f>V15-T15</f>
        <v>#DIV/0!</v>
      </c>
      <c r="V15" s="50" t="e">
        <f>Valuation!I247</f>
        <v>#DIV/0!</v>
      </c>
      <c r="W15" s="75"/>
      <c r="X15" s="8"/>
      <c r="Y15" s="8"/>
      <c r="Z15" s="8"/>
    </row>
    <row r="16" ht="13.5" customHeight="1" spans="1:26" x14ac:dyDescent="0.25">
      <c r="A16" s="8"/>
      <c r="B16" s="8"/>
      <c r="C16" s="8"/>
      <c r="D16" s="8"/>
      <c r="E16" s="8"/>
      <c r="F16" s="8"/>
      <c r="G16" s="8"/>
      <c r="H16" s="8"/>
      <c r="I16" s="8"/>
      <c r="J16" s="8"/>
      <c r="K16" s="8"/>
      <c r="L16" s="8"/>
      <c r="M16" s="8"/>
      <c r="N16" s="8"/>
      <c r="O16" s="8" t="str">
        <f>Valuation!F236&amp;": "&amp;TEXT(Valuation!G237,"0.0x")&amp;" - "&amp;TEXT(Valuation!I237,"0.0x")</f>
        <v>2006-2010 Late Cycle P/E: 27.6x - 29.6x</v>
      </c>
      <c r="P16" s="8"/>
      <c r="Q16" s="8"/>
      <c r="R16" s="8"/>
      <c r="S16" s="8"/>
      <c r="T16" s="50" t="e">
        <f>Valuation!G239</f>
        <v>#DIV/0!</v>
      </c>
      <c r="U16" s="134" t="e">
        <f>V16-T16</f>
        <v>#DIV/0!</v>
      </c>
      <c r="V16" s="50" t="e">
        <f>Valuation!I239</f>
        <v>#DIV/0!</v>
      </c>
      <c r="W16" s="75"/>
      <c r="X16" s="8"/>
      <c r="Y16" s="8"/>
      <c r="Z16" s="8"/>
    </row>
    <row r="17" ht="13.5" customHeight="1" spans="1:26" x14ac:dyDescent="0.25">
      <c r="A17" s="8"/>
      <c r="B17" s="8"/>
      <c r="C17" s="8"/>
      <c r="D17" s="8"/>
      <c r="E17" s="8"/>
      <c r="F17" s="8"/>
      <c r="G17" s="8"/>
      <c r="H17" s="8"/>
      <c r="I17" s="8"/>
      <c r="J17" s="8"/>
      <c r="K17" s="8"/>
      <c r="L17" s="8"/>
      <c r="M17" s="8"/>
      <c r="N17" s="8"/>
      <c r="O17" s="8"/>
      <c r="P17" s="8"/>
      <c r="Q17" s="8"/>
      <c r="R17" s="8"/>
      <c r="S17" s="8"/>
      <c r="T17" s="134"/>
      <c r="U17" s="134"/>
      <c r="V17" s="134"/>
      <c r="W17" s="75"/>
      <c r="X17" s="8"/>
      <c r="Y17" s="8"/>
      <c r="Z17" s="8"/>
    </row>
    <row r="18" ht="13.5" customHeight="1" spans="1:26" x14ac:dyDescent="0.25">
      <c r="A18" s="8"/>
      <c r="B18" s="8"/>
      <c r="C18" s="8"/>
      <c r="D18" s="8"/>
      <c r="E18" s="8"/>
      <c r="F18" s="8"/>
      <c r="G18" s="8"/>
      <c r="H18" s="8"/>
      <c r="I18" s="8"/>
      <c r="J18" s="8"/>
      <c r="K18" s="8"/>
      <c r="L18" s="8"/>
      <c r="M18" s="8"/>
      <c r="N18" s="8"/>
      <c r="O18" s="8" t="s">
        <v>159</v>
      </c>
      <c r="P18" s="8"/>
      <c r="Q18" s="8"/>
      <c r="R18" s="8"/>
      <c r="S18" s="8"/>
      <c r="T18" s="226">
        <f>Share_Price_Low</f>
        <v>201.42</v>
      </c>
      <c r="U18" s="227">
        <f>V18-T18</f>
        <v>57.33000000000001</v>
      </c>
      <c r="V18" s="228">
        <f>Share_Price_High</f>
        <v>258.75</v>
      </c>
      <c r="W18" s="75"/>
      <c r="X18" s="8"/>
      <c r="Y18" s="8"/>
      <c r="Z18" s="8"/>
    </row>
    <row r="19" ht="13.5" customHeight="1" spans="1:26" x14ac:dyDescent="0.25">
      <c r="A19" s="8"/>
      <c r="B19" s="8"/>
      <c r="C19" s="8"/>
      <c r="D19" s="8"/>
      <c r="E19" s="8"/>
      <c r="F19" s="8"/>
      <c r="G19" s="8"/>
      <c r="H19" s="8"/>
      <c r="I19" s="8"/>
      <c r="J19" s="8"/>
      <c r="K19" s="8"/>
      <c r="L19" s="8"/>
      <c r="M19" s="8"/>
      <c r="N19" s="8"/>
      <c r="O19" s="229" t="s">
        <v>160</v>
      </c>
      <c r="P19" s="91"/>
      <c r="Q19" s="91"/>
      <c r="R19" s="91"/>
      <c r="S19" s="91"/>
      <c r="T19" s="230">
        <f>MEDIAN(T5:T18)</f>
        <v>203.08466610151612</v>
      </c>
      <c r="U19" s="230">
        <f>MEDIAN(U5:U18)</f>
        <v>33.3273835192916</v>
      </c>
      <c r="V19" s="231">
        <f>MEDIAN(V5:V18)</f>
        <v>258.76565673973397</v>
      </c>
      <c r="W19" s="75"/>
      <c r="X19" s="8"/>
      <c r="Y19" s="8"/>
      <c r="Z19" s="8"/>
    </row>
    <row r="20" ht="13.5" customHeight="1" spans="1:26" x14ac:dyDescent="0.25">
      <c r="A20" s="218" t="s">
        <v>3</v>
      </c>
      <c r="B20" s="8"/>
      <c r="C20" s="8"/>
      <c r="D20" s="8"/>
      <c r="E20" s="8"/>
      <c r="F20" s="8"/>
      <c r="G20" s="8"/>
      <c r="H20" s="8"/>
      <c r="I20" s="8"/>
      <c r="J20" s="8"/>
      <c r="K20" s="8"/>
      <c r="L20" s="8"/>
      <c r="M20" s="8"/>
      <c r="N20" s="8"/>
      <c r="O20" s="111" t="s">
        <v>161</v>
      </c>
      <c r="P20" s="8"/>
      <c r="Q20" s="8"/>
      <c r="R20" s="8"/>
      <c r="S20" s="8"/>
      <c r="T20" s="112">
        <f>T19/Share_Price-1</f>
        <v>-0.01677721567893431</v>
      </c>
      <c r="U20" s="112"/>
      <c r="V20" s="112">
        <f>V19/Share_Price-1</f>
        <v>0.2527991127559137</v>
      </c>
      <c r="W20" s="75"/>
      <c r="X20" s="8"/>
      <c r="Y20" s="8"/>
      <c r="Z20" s="8"/>
    </row>
    <row r="21" ht="13.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3.5" customHeight="1" spans="1:26" x14ac:dyDescent="0.25">
      <c r="A22" s="8"/>
      <c r="B22" s="8"/>
      <c r="C22" s="8"/>
      <c r="D22" s="8"/>
      <c r="E22" s="8"/>
      <c r="F22" s="8"/>
      <c r="G22" s="8"/>
      <c r="H22" s="8"/>
      <c r="I22" s="8"/>
      <c r="J22" s="8"/>
      <c r="K22" s="8"/>
      <c r="L22" s="8"/>
      <c r="M22" s="8"/>
      <c r="N22" s="8"/>
      <c r="O22" s="8"/>
      <c r="P22" s="8"/>
      <c r="Q22" s="8"/>
      <c r="R22" s="8"/>
      <c r="S22" s="8"/>
      <c r="T22" s="232" t="s">
        <v>162</v>
      </c>
      <c r="U22" s="233"/>
      <c r="V22" s="234"/>
      <c r="W22" s="75"/>
      <c r="X22" s="8"/>
      <c r="Y22" s="8"/>
      <c r="Z22" s="8"/>
    </row>
    <row r="23" ht="13.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3.5" customHeight="1" spans="1:26" x14ac:dyDescent="0.25">
      <c r="A24" s="8"/>
      <c r="B24" s="8"/>
      <c r="C24" s="8"/>
      <c r="D24" s="8"/>
      <c r="E24" s="8"/>
      <c r="F24" s="8"/>
      <c r="G24" s="8"/>
      <c r="H24" s="8"/>
      <c r="I24" s="8"/>
      <c r="J24" s="8"/>
      <c r="K24" s="8"/>
      <c r="L24" s="8"/>
      <c r="M24" s="8"/>
      <c r="N24" s="8"/>
      <c r="O24" s="8"/>
      <c r="P24" s="8"/>
      <c r="Q24" s="8"/>
      <c r="R24" s="8"/>
      <c r="S24" s="8"/>
      <c r="T24" s="75"/>
      <c r="U24" s="202" t="s">
        <v>163</v>
      </c>
      <c r="V24" s="8"/>
      <c r="W24" s="75"/>
      <c r="X24" s="8"/>
      <c r="Y24" s="8"/>
      <c r="Z24" s="8"/>
    </row>
    <row r="25" ht="13.5" customHeight="1" spans="1:26" x14ac:dyDescent="0.25">
      <c r="A25" s="218" t="s">
        <v>3</v>
      </c>
      <c r="B25" s="8"/>
      <c r="C25" s="8"/>
      <c r="D25" s="8"/>
      <c r="E25" s="8"/>
      <c r="F25" s="8"/>
      <c r="G25" s="8"/>
      <c r="H25" s="8"/>
      <c r="I25" s="8"/>
      <c r="J25" s="8"/>
      <c r="K25" s="8"/>
      <c r="L25" s="8"/>
      <c r="M25" s="8"/>
      <c r="N25" s="8"/>
      <c r="O25" s="8"/>
      <c r="P25" s="8"/>
      <c r="Q25" s="8"/>
      <c r="R25" s="8"/>
      <c r="S25" s="8"/>
      <c r="T25" s="181" t="s">
        <v>164</v>
      </c>
      <c r="U25" s="223">
        <f>MAX(V5:V18)*1.1</f>
        <v>313.2483279968271</v>
      </c>
      <c r="V25" s="8"/>
      <c r="W25" s="222" t="s">
        <v>3</v>
      </c>
      <c r="X25" s="8"/>
      <c r="Y25" s="8"/>
      <c r="Z25" s="8"/>
    </row>
    <row r="26" ht="13.5" customHeight="1" spans="1:26" x14ac:dyDescent="0.25">
      <c r="A26" s="218"/>
      <c r="B26" s="8"/>
      <c r="C26" s="8"/>
      <c r="D26" s="8"/>
      <c r="E26" s="8"/>
      <c r="F26" s="8"/>
      <c r="G26" s="8"/>
      <c r="H26" s="8"/>
      <c r="I26" s="8"/>
      <c r="J26" s="8"/>
      <c r="K26" s="8"/>
      <c r="L26" s="8"/>
      <c r="M26" s="8"/>
      <c r="N26" s="8"/>
      <c r="O26" s="8"/>
      <c r="P26" s="8"/>
      <c r="Q26" s="8"/>
      <c r="R26" s="8"/>
      <c r="S26" s="8"/>
      <c r="T26" s="181" t="s">
        <v>165</v>
      </c>
      <c r="U26" s="223">
        <f>MIN(T5:T18)*0.9</f>
        <v>135.912820986936</v>
      </c>
      <c r="V26" s="8"/>
      <c r="W26" s="75"/>
      <c r="X26" s="8"/>
      <c r="Y26" s="8"/>
      <c r="Z26" s="8"/>
    </row>
    <row r="27" ht="13.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3.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3.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3.5" customHeight="1" spans="1:26" x14ac:dyDescent="0.25">
      <c r="A30" s="218" t="s">
        <v>3</v>
      </c>
      <c r="B30" s="8"/>
      <c r="C30" s="8"/>
      <c r="D30" s="8"/>
      <c r="E30" s="8"/>
      <c r="F30" s="8"/>
      <c r="G30" s="8"/>
      <c r="H30" s="8"/>
      <c r="I30" s="8"/>
      <c r="J30" s="8"/>
      <c r="K30" s="8"/>
      <c r="L30" s="8"/>
      <c r="M30" s="8"/>
      <c r="N30" s="8"/>
      <c r="O30" s="8"/>
      <c r="P30" s="8"/>
      <c r="Q30" s="8"/>
      <c r="R30" s="8"/>
      <c r="S30" s="8"/>
      <c r="T30" s="8"/>
      <c r="U30" s="8"/>
      <c r="V30" s="8"/>
      <c r="W30" s="75"/>
      <c r="X30" s="8"/>
      <c r="Y30" s="8"/>
      <c r="Z30" s="8"/>
    </row>
    <row r="31" ht="13.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35"/>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35"/>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35"/>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35"/>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35"/>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35"/>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35"/>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35"/>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35"/>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35"/>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35"/>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35"/>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35"/>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35"/>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35"/>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35"/>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35"/>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35"/>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35"/>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35"/>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35"/>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35"/>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35"/>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35"/>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35"/>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35"/>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35"/>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35"/>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35"/>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35"/>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35"/>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35"/>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35"/>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35"/>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35"/>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35"/>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35"/>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35"/>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35"/>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35"/>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35"/>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35"/>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35"/>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35"/>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35"/>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35"/>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35"/>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35"/>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35"/>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35"/>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35"/>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35"/>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35"/>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35"/>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35"/>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35"/>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35"/>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35"/>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35"/>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35"/>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35"/>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35"/>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35"/>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35"/>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35"/>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35"/>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35"/>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35"/>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5"/>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5"/>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5"/>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5"/>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5"/>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5"/>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5"/>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5"/>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5"/>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5"/>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5"/>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5"/>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5"/>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5"/>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5"/>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5"/>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5"/>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5"/>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5"/>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5"/>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5"/>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5"/>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5"/>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5"/>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5"/>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5"/>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5"/>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5"/>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5"/>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5"/>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5"/>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5"/>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5"/>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5"/>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5"/>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5"/>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5"/>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5"/>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5"/>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5"/>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5"/>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5"/>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5"/>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5"/>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5"/>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5"/>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5"/>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5"/>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5"/>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5"/>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5"/>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5"/>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5"/>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5"/>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5"/>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5"/>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5"/>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5"/>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5"/>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5"/>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5"/>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5"/>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5"/>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5"/>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5"/>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5"/>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5"/>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5"/>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5"/>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5"/>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5"/>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5"/>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5"/>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5"/>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5"/>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5"/>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5"/>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5"/>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5"/>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5"/>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5"/>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5"/>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5"/>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5"/>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5"/>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5"/>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5"/>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5"/>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5"/>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5"/>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5"/>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5"/>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5"/>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5"/>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5"/>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5"/>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5"/>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5"/>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5"/>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5"/>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5"/>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5"/>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5"/>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5"/>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5"/>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5"/>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5"/>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5"/>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5"/>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5"/>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5"/>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5"/>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5"/>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5"/>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5"/>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5"/>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5"/>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5"/>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5"/>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5"/>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5"/>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5"/>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5"/>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5"/>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5"/>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5"/>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5"/>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5"/>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5"/>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5"/>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5"/>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5"/>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5"/>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5"/>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5"/>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5"/>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5"/>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5"/>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5"/>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5"/>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5"/>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5"/>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5"/>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5"/>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5"/>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5"/>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5"/>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5"/>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5"/>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5"/>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5"/>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5"/>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5"/>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5"/>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5"/>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5"/>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5"/>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5"/>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5"/>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5"/>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5"/>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5"/>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5"/>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5"/>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5"/>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5"/>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5"/>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5"/>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5"/>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5"/>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5"/>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5"/>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5"/>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5"/>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5"/>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5"/>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5"/>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5"/>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5"/>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5"/>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5"/>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5"/>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5"/>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5"/>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5"/>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5"/>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5"/>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5"/>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5"/>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5"/>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5"/>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5"/>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5"/>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5"/>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5"/>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5"/>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5"/>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5"/>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5"/>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5"/>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5"/>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5"/>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5"/>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5"/>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5"/>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5"/>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5"/>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5"/>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5"/>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5"/>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5"/>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5"/>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5"/>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5"/>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5"/>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5"/>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5"/>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5"/>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5"/>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5"/>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5"/>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5"/>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5"/>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5"/>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5"/>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5"/>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5"/>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5"/>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5"/>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5"/>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5"/>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5"/>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5"/>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5"/>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5"/>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5"/>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5"/>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5"/>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5"/>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5"/>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5"/>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5"/>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5"/>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5"/>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5"/>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5"/>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5"/>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5"/>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5"/>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5"/>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5"/>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5"/>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5"/>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5"/>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5"/>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5"/>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5"/>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5"/>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5"/>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5"/>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5"/>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5"/>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5"/>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5"/>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5"/>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5"/>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5"/>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5"/>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5"/>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5"/>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5"/>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5"/>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5"/>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5"/>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5"/>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5"/>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5"/>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5"/>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5"/>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5"/>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5"/>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5"/>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5"/>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5"/>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5"/>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5"/>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5"/>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5"/>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5"/>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5"/>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5"/>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5"/>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5"/>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5"/>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5"/>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5"/>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5"/>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5"/>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5"/>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5"/>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5"/>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5"/>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5"/>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5"/>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5"/>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5"/>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5"/>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5"/>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5"/>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5"/>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5"/>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5"/>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5"/>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5"/>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5"/>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5"/>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5"/>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5"/>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5"/>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5"/>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5"/>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5"/>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5"/>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5"/>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5"/>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5"/>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5"/>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5"/>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5"/>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5"/>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5"/>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5"/>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5"/>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5"/>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5"/>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5"/>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5"/>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5"/>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5"/>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5"/>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5"/>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5"/>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5"/>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5"/>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5"/>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5"/>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5"/>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5"/>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5"/>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5"/>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5"/>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5"/>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5"/>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5"/>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5"/>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5"/>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5"/>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5"/>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5"/>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5"/>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5"/>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5"/>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5"/>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5"/>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5"/>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5"/>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5"/>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5"/>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5"/>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5"/>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5"/>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5"/>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5"/>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5"/>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5"/>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5"/>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5"/>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5"/>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5"/>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5"/>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5"/>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5"/>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5"/>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5"/>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5"/>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5"/>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5"/>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5"/>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5"/>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5"/>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5"/>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5"/>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5"/>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5"/>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5"/>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5"/>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5"/>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5"/>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5"/>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5"/>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5"/>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5"/>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5"/>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5"/>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5"/>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5"/>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5"/>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5"/>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5"/>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5"/>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5"/>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5"/>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5"/>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5"/>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5"/>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5"/>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5"/>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5"/>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5"/>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5"/>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5"/>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5"/>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5"/>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5"/>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5"/>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5"/>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5"/>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5"/>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5"/>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5"/>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5"/>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5"/>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5"/>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5"/>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5"/>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5"/>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5"/>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5"/>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5"/>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5"/>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5"/>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5"/>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5"/>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5"/>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5"/>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5"/>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5"/>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5"/>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5"/>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5"/>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5"/>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5"/>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5"/>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5"/>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5"/>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5"/>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5"/>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5"/>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5"/>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5"/>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5"/>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5"/>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5"/>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5"/>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5"/>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5"/>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5"/>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5"/>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5"/>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5"/>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5"/>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5"/>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5"/>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5"/>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5"/>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5"/>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5"/>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5"/>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5"/>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5"/>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5"/>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5"/>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5"/>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5"/>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5"/>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5"/>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5"/>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5"/>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5"/>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5"/>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5"/>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5"/>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5"/>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5"/>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5"/>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5"/>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5"/>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5"/>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5"/>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5"/>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5"/>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5"/>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5"/>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5"/>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5"/>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5"/>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5"/>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5"/>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5"/>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5"/>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5"/>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5"/>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5"/>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5"/>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5"/>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5"/>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5"/>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5"/>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5"/>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5"/>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5"/>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5"/>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5"/>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5"/>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5"/>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5"/>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5"/>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5"/>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5"/>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5"/>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5"/>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5"/>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5"/>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5"/>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5"/>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5"/>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5"/>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5"/>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5"/>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5"/>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5"/>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5"/>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5"/>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5"/>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5"/>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5"/>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5"/>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5"/>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5"/>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5"/>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5"/>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5"/>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5"/>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5"/>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5"/>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5"/>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5"/>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5"/>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5"/>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5"/>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5"/>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5"/>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5"/>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5"/>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5"/>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5"/>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5"/>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5"/>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5"/>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5"/>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5"/>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5"/>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5"/>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5"/>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5"/>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5"/>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5"/>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5"/>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5"/>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5"/>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5"/>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5"/>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5"/>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5"/>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5"/>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5"/>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5"/>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5"/>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5"/>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5"/>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5"/>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5"/>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5"/>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5"/>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5"/>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5"/>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5"/>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5"/>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5"/>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5"/>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5"/>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5"/>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5"/>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5"/>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5"/>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5"/>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5"/>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5"/>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5"/>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5"/>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5"/>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5"/>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5"/>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5"/>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5"/>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5"/>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5"/>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5"/>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5"/>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5"/>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5"/>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5"/>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5"/>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5"/>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5"/>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5"/>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5"/>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5"/>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5"/>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5"/>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5"/>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5"/>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5"/>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5"/>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5"/>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5"/>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5"/>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5"/>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5"/>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5"/>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5"/>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5"/>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5"/>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5"/>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5"/>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5"/>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5"/>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5"/>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5"/>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5"/>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5"/>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5"/>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5"/>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5"/>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5"/>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5"/>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5"/>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5"/>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5"/>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5"/>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5"/>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5"/>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5"/>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5"/>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5"/>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5"/>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5"/>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5"/>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5"/>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5"/>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5"/>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5"/>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5"/>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5"/>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5"/>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5"/>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5"/>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5"/>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5"/>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5"/>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5"/>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5"/>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5"/>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5"/>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5"/>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5"/>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5"/>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5"/>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5"/>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5"/>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5"/>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5"/>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5"/>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5"/>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5"/>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5"/>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5"/>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5"/>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5"/>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5"/>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5"/>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5"/>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5"/>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5"/>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5"/>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5"/>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5"/>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5"/>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5"/>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5"/>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5"/>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5"/>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5"/>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5"/>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5"/>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5"/>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5"/>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5"/>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5"/>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5"/>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5"/>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5"/>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5"/>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5"/>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5"/>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5"/>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5"/>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5"/>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5"/>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5"/>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5"/>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5"/>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5"/>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5"/>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5"/>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5"/>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5"/>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5"/>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5"/>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5"/>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5"/>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5"/>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5"/>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5"/>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5"/>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5"/>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5"/>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5"/>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5"/>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5"/>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5"/>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5"/>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5"/>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5"/>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5"/>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5"/>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5"/>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5"/>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5"/>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5"/>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5"/>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5"/>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5"/>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5"/>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5"/>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5"/>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5"/>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5"/>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5"/>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5"/>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5"/>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5"/>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5"/>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5"/>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5"/>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5"/>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5"/>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5"/>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5"/>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5"/>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5"/>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5"/>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5"/>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5"/>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5"/>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5"/>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5"/>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5"/>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5"/>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5"/>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5"/>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5"/>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5"/>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5"/>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5"/>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5"/>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5"/>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5"/>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5"/>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5"/>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5"/>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5"/>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5"/>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5"/>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5"/>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5"/>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5"/>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5"/>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5"/>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5"/>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5"/>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5"/>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5"/>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5"/>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5"/>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5"/>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5"/>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5"/>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5"/>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5"/>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5"/>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5"/>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5"/>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5"/>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5"/>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5"/>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5"/>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5"/>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5"/>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5"/>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5"/>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5"/>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5"/>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5"/>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5"/>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5"/>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5"/>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5"/>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5"/>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5"/>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5"/>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5"/>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5"/>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5"/>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5"/>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5"/>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5"/>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5"/>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5"/>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5"/>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5"/>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5"/>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5"/>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5"/>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5"/>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5"/>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5"/>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5"/>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5"/>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5"/>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5"/>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5"/>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5"/>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5"/>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5"/>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5"/>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5"/>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5"/>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5"/>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5"/>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5"/>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5"/>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5"/>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5"/>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5"/>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5"/>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5"/>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5"/>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5"/>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5"/>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5"/>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5"/>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5"/>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5"/>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5"/>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5"/>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5"/>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5"/>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5"/>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5"/>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5"/>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5"/>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5"/>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5"/>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5"/>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5"/>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5"/>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5"/>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5"/>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5"/>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5"/>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2" t="str">
        <f>Company_Name&amp;" - "&amp;MID(CELL("filename",A1),FIND("]",CELL("filename",A1))+1,255)</f>
        <v>Republic Services,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7"/>
      <c r="B3" s="4"/>
      <c r="C3" s="236" t="s">
        <v>36</v>
      </c>
      <c r="D3" s="237"/>
      <c r="E3" s="237"/>
      <c r="F3" s="236"/>
      <c r="G3" s="236"/>
      <c r="H3" s="4"/>
      <c r="I3" s="4"/>
      <c r="J3" s="4"/>
      <c r="K3" s="4"/>
      <c r="L3" s="4"/>
      <c r="M3" s="4"/>
      <c r="N3" s="4"/>
      <c r="O3" s="4"/>
      <c r="P3" s="4"/>
      <c r="Q3" s="4"/>
      <c r="R3" s="4"/>
      <c r="S3" s="4"/>
      <c r="T3" s="4"/>
      <c r="U3" s="4"/>
      <c r="V3" s="4"/>
      <c r="W3" s="4"/>
      <c r="X3" s="4"/>
      <c r="Y3" s="4"/>
      <c r="Z3" s="4"/>
    </row>
    <row r="4" ht="13.5" customHeight="1" spans="1:26" x14ac:dyDescent="0.25">
      <c r="A4" s="4"/>
      <c r="B4" s="4"/>
      <c r="C4" s="238" t="s">
        <v>166</v>
      </c>
      <c r="D4" s="239"/>
      <c r="E4" s="239"/>
      <c r="F4" s="239"/>
      <c r="G4" s="240"/>
      <c r="H4" s="4"/>
      <c r="I4" s="4"/>
      <c r="J4" s="4"/>
      <c r="K4" s="4"/>
      <c r="L4" s="4"/>
      <c r="M4" s="4"/>
      <c r="N4" s="4"/>
      <c r="O4" s="4"/>
      <c r="P4" s="4"/>
      <c r="Q4" s="4"/>
      <c r="R4" s="4"/>
      <c r="S4" s="4"/>
      <c r="T4" s="4"/>
      <c r="U4" s="4"/>
      <c r="V4" s="4"/>
      <c r="W4" s="4"/>
      <c r="X4" s="4"/>
      <c r="Y4" s="4"/>
      <c r="Z4" s="4"/>
    </row>
    <row r="5" ht="13.5" customHeight="1" spans="1:26" x14ac:dyDescent="0.25">
      <c r="A5" s="4"/>
      <c r="B5" s="4"/>
      <c r="C5" s="241"/>
      <c r="D5" s="242"/>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 t="s">
        <v>167</v>
      </c>
      <c r="D6" s="242"/>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1" t="s">
        <v>168</v>
      </c>
      <c r="D7" s="242" t="str">
        <f>IF(Case_Scenario="Base","OK!","Check!")</f>
        <v>OK!</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1" t="s">
        <v>169</v>
      </c>
      <c r="D8" s="242"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1" t="s">
        <v>170</v>
      </c>
      <c r="D9" s="242"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1" t="s">
        <v>138</v>
      </c>
      <c r="D10" s="242"/>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43"/>
      <c r="D11" s="242"/>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 t="s">
        <v>171</v>
      </c>
      <c r="D12" s="242"/>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1" t="s">
        <v>172</v>
      </c>
      <c r="D13" s="242" t="e">
        <f>SUM(Valuation!F92,Valuation!K92,Valuation!Q92,Valuation!F151:F155,Valuation!M151:M155,Valuation!F227:F231,Valuation!M227:M231)</f>
        <v>#DIV/0!</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1" t="s">
        <v>173</v>
      </c>
      <c r="D14" s="242" t="e">
        <f>SUM(WACC!Q20,WACC!N33:N37)</f>
        <v>#DIV/0!</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1"/>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44" t="s">
        <v>174</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1" t="s">
        <v>175</v>
      </c>
      <c r="D17" s="235" t="str">
        <f>Cover!$Q$2</f>
        <v>Report</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1" t="s">
        <v>176</v>
      </c>
      <c r="D18" s="235" t="str">
        <f>'Revenue Build'!$C$22</f>
        <v>Report</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1" t="s">
        <v>167</v>
      </c>
      <c r="D19" s="235" t="str">
        <f>Model!$C$5</f>
        <v>Report</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1" t="s">
        <v>44</v>
      </c>
      <c r="D20" s="235" t="str">
        <f>WACC!R5</f>
        <v>Report</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1" t="s">
        <v>177</v>
      </c>
      <c r="D21" s="235" t="str">
        <f>Valuation!$S$2</f>
        <v>Report</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36" t="s">
        <v>178</v>
      </c>
      <c r="D23" s="237"/>
      <c r="E23" s="237"/>
      <c r="F23" s="236"/>
      <c r="G23" s="236"/>
      <c r="H23" s="4"/>
      <c r="I23" s="4"/>
      <c r="J23" s="4"/>
      <c r="K23" s="4"/>
      <c r="L23" s="4"/>
      <c r="M23" s="4"/>
      <c r="N23" s="4"/>
      <c r="O23" s="4"/>
      <c r="P23" s="4"/>
      <c r="Q23" s="4"/>
      <c r="R23" s="4"/>
      <c r="S23" s="4"/>
      <c r="T23" s="4"/>
      <c r="U23" s="4"/>
      <c r="V23" s="4"/>
      <c r="W23" s="4"/>
      <c r="X23" s="4"/>
      <c r="Y23" s="4"/>
      <c r="Z23" s="4"/>
    </row>
    <row r="24" ht="13.5" customHeight="1" spans="1:26" x14ac:dyDescent="0.25">
      <c r="A24" s="4"/>
      <c r="B24" s="4"/>
      <c r="C24" s="238" t="s">
        <v>179</v>
      </c>
      <c r="D24" s="239" t="s">
        <v>180</v>
      </c>
      <c r="E24" s="239" t="s">
        <v>181</v>
      </c>
      <c r="F24" s="245" t="s">
        <v>182</v>
      </c>
      <c r="G24" s="240"/>
      <c r="H24" s="4"/>
      <c r="I24" s="4"/>
      <c r="J24" s="4"/>
      <c r="K24" s="4"/>
      <c r="L24" s="4"/>
      <c r="M24" s="4"/>
      <c r="N24" s="4"/>
      <c r="O24" s="4"/>
      <c r="P24" s="4"/>
      <c r="Q24" s="4"/>
      <c r="R24" s="4"/>
      <c r="S24" s="4"/>
      <c r="T24" s="4"/>
      <c r="U24" s="4"/>
      <c r="V24" s="4"/>
      <c r="W24" s="4"/>
      <c r="X24" s="4"/>
      <c r="Y24" s="4"/>
      <c r="Z24" s="4"/>
    </row>
    <row r="25" ht="13.5" customHeight="1" spans="1:26" x14ac:dyDescent="0.25">
      <c r="A25" s="4"/>
      <c r="B25" s="4"/>
      <c r="C25" s="246">
        <v>44476</v>
      </c>
      <c r="D25" s="247" t="s">
        <v>183</v>
      </c>
      <c r="E25" s="246" t="s">
        <v>184</v>
      </c>
      <c r="F25" s="248" t="s">
        <v>185</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49">
        <v>44476</v>
      </c>
      <c r="D26" s="235" t="s">
        <v>186</v>
      </c>
      <c r="E26" s="246" t="s">
        <v>187</v>
      </c>
      <c r="F26" s="248" t="s">
        <v>188</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46">
        <v>44480</v>
      </c>
      <c r="D27" s="247" t="s">
        <v>189</v>
      </c>
      <c r="E27" s="246" t="s">
        <v>184</v>
      </c>
      <c r="F27" s="248" t="s">
        <v>190</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46">
        <v>44488</v>
      </c>
      <c r="D28" s="247" t="s">
        <v>191</v>
      </c>
      <c r="E28" s="246" t="s">
        <v>184</v>
      </c>
      <c r="F28" s="248" t="s">
        <v>192</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49">
        <v>44489</v>
      </c>
      <c r="D29" s="235" t="s">
        <v>193</v>
      </c>
      <c r="E29" s="243" t="s">
        <v>194</v>
      </c>
      <c r="F29" s="248" t="s">
        <v>195</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49">
        <v>44491</v>
      </c>
      <c r="D30" s="235" t="s">
        <v>196</v>
      </c>
      <c r="E30" s="243" t="s">
        <v>194</v>
      </c>
      <c r="F30" s="248" t="s">
        <v>197</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0">
        <v>44496</v>
      </c>
      <c r="D31" s="235" t="s">
        <v>198</v>
      </c>
      <c r="E31" s="251" t="s">
        <v>187</v>
      </c>
      <c r="F31" s="252" t="s">
        <v>199</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0">
        <v>44503</v>
      </c>
      <c r="D32" s="235" t="s">
        <v>200</v>
      </c>
      <c r="E32" s="251" t="s">
        <v>194</v>
      </c>
      <c r="F32" s="252" t="s">
        <v>201</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0">
        <v>44512</v>
      </c>
      <c r="D33" s="235" t="s">
        <v>202</v>
      </c>
      <c r="E33" s="4" t="s">
        <v>194</v>
      </c>
      <c r="F33" s="253" t="s">
        <v>203</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0">
        <v>44522</v>
      </c>
      <c r="D34" s="235" t="s">
        <v>204</v>
      </c>
      <c r="E34" s="4" t="s">
        <v>194</v>
      </c>
      <c r="F34" s="253" t="s">
        <v>205</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0">
        <v>44582</v>
      </c>
      <c r="D35" s="235" t="s">
        <v>206</v>
      </c>
      <c r="E35" s="4" t="s">
        <v>187</v>
      </c>
      <c r="F35" s="253" t="s">
        <v>207</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0">
        <v>44584</v>
      </c>
      <c r="D36" s="235" t="s">
        <v>208</v>
      </c>
      <c r="E36" s="4" t="s">
        <v>209</v>
      </c>
      <c r="F36" s="243" t="s">
        <v>210</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0">
        <v>44587</v>
      </c>
      <c r="D37" s="235" t="s">
        <v>211</v>
      </c>
      <c r="E37" s="251" t="s">
        <v>187</v>
      </c>
      <c r="F37" s="253" t="s">
        <v>212</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0">
        <v>44607</v>
      </c>
      <c r="D38" s="235" t="s">
        <v>213</v>
      </c>
      <c r="E38" s="251" t="s">
        <v>194</v>
      </c>
      <c r="F38" s="253" t="s">
        <v>214</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49">
        <v>44979</v>
      </c>
      <c r="D39" s="235" t="s">
        <v>215</v>
      </c>
      <c r="E39" s="254" t="s">
        <v>216</v>
      </c>
      <c r="F39" s="255" t="s">
        <v>217</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49">
        <v>44990</v>
      </c>
      <c r="D40" s="235" t="s">
        <v>218</v>
      </c>
      <c r="E40" s="254" t="s">
        <v>219</v>
      </c>
      <c r="F40" s="255" t="s">
        <v>220</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49">
        <v>44991</v>
      </c>
      <c r="D41" s="235" t="s">
        <v>221</v>
      </c>
      <c r="E41" s="254" t="s">
        <v>219</v>
      </c>
      <c r="F41" s="255" t="s">
        <v>222</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49">
        <v>45005</v>
      </c>
      <c r="D42" s="235" t="s">
        <v>223</v>
      </c>
      <c r="E42" s="254" t="s">
        <v>224</v>
      </c>
      <c r="F42" s="255" t="s">
        <v>225</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49">
        <v>45130</v>
      </c>
      <c r="D43" s="235" t="s">
        <v>226</v>
      </c>
      <c r="E43" s="254" t="s">
        <v>227</v>
      </c>
      <c r="F43" s="255" t="s">
        <v>228</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49">
        <v>45230</v>
      </c>
      <c r="D44" s="235" t="s">
        <v>229</v>
      </c>
      <c r="E44" s="254" t="s">
        <v>227</v>
      </c>
      <c r="F44" s="255" t="s">
        <v>230</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49">
        <v>45325</v>
      </c>
      <c r="D45" s="235" t="s">
        <v>231</v>
      </c>
      <c r="E45" s="254" t="s">
        <v>232</v>
      </c>
      <c r="F45" s="255" t="s">
        <v>233</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49">
        <v>45376</v>
      </c>
      <c r="D46" s="235" t="s">
        <v>234</v>
      </c>
      <c r="E46" s="254" t="s">
        <v>227</v>
      </c>
      <c r="F46" s="255" t="s">
        <v>235</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49">
        <v>45581</v>
      </c>
      <c r="D47" s="235" t="s">
        <v>236</v>
      </c>
      <c r="E47" s="254" t="s">
        <v>237</v>
      </c>
      <c r="F47" s="255" t="s">
        <v>238</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election activeCell="AG81" sqref="AG81"/>
    </sheetView>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3.1640625" outlineLevel="1" collapsed="1" customWidth="1"/>
    <col min="23"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56"/>
      <c r="B1" s="256"/>
      <c r="C1" s="2" t="str">
        <f>Company_Name&amp;" - "&amp;MID(CELL("filename",A1),FIND("]",CELL("filename",A1))+1,255)&amp;": "&amp;Case_Scenario&amp;" Case"</f>
        <v>Republic Services, Inc. - Revenue Build: Base Case</v>
      </c>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57" t="s">
        <v>3</v>
      </c>
      <c r="B4" s="8"/>
      <c r="C4" s="53" t="s">
        <v>239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spans="1:36" x14ac:dyDescent="0.25" outlineLevel="1" collapsed="1">
      <c r="A6" s="8"/>
      <c r="B6" s="8"/>
      <c r="C6" s="122" t="str">
        <f>C30&amp;" Methodology"</f>
        <v>Total Company Revenue Methodology</v>
      </c>
      <c r="D6" s="25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spans="1:36" x14ac:dyDescent="0.25" outlineLevel="1" collapsed="1">
      <c r="A7" s="8"/>
      <c r="B7" s="8"/>
      <c r="C7" s="130" t="s">
        <v>240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spans="1:36" x14ac:dyDescent="0.25" outlineLevel="1" collapsed="1">
      <c r="A8" s="8"/>
      <c r="B8" s="8"/>
      <c r="C8" s="122" t="str">
        <f>C32&amp;" Methodology"</f>
        <v>Collection Revenue Methodology</v>
      </c>
      <c r="D8" s="25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spans="1:36" x14ac:dyDescent="0.25" outlineLevel="1" collapsed="1">
      <c r="A9" s="8"/>
      <c r="B9" s="8"/>
      <c r="C9" s="130" t="str">
        <f>IF(Company_Rev_Methodology="Segment","Segment",IF(Company_Rev_Methodology="Activity-Based","Activity-Based",IF(Company_Rev_Methodology="Backlog","Backlog",IF(Company_Rev_Methodology="Mixed",D9,"--"))))</f>
        <v>Segment</v>
      </c>
      <c r="D9" s="40" t="s">
        <v>241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spans="1:36" x14ac:dyDescent="0.25" outlineLevel="1" collapsed="1">
      <c r="A10" s="8"/>
      <c r="B10" s="8"/>
      <c r="C10" s="122" t="str">
        <f>C35&amp;" Methodology"</f>
        <v>Landfill Revenue Methodology</v>
      </c>
      <c r="D10" s="25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242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spans="1:36" x14ac:dyDescent="0.25" outlineLevel="1" collapsed="1">
      <c r="A12" s="8"/>
      <c r="B12" s="8"/>
      <c r="C12" s="122" t="str">
        <f>C38&amp;" Methodology"</f>
        <v>Environmental solutions Revenue Methodology</v>
      </c>
      <c r="D12" s="25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240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spans="1:36" x14ac:dyDescent="0.25" outlineLevel="1" collapsed="1">
      <c r="A14" s="8"/>
      <c r="B14" s="8"/>
      <c r="C14" s="122" t="str">
        <f>C41&amp;" Methodology"</f>
        <v>Transfer Revenue Methodology</v>
      </c>
      <c r="D14" s="25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240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spans="1:36" x14ac:dyDescent="0.25" outlineLevel="1" collapsed="1">
      <c r="A16" s="8"/>
      <c r="B16" s="8"/>
      <c r="C16" s="122" t="str">
        <f>C44&amp;" Methodology"</f>
        <v>Other Revenue Methodology</v>
      </c>
      <c r="D16" s="25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240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spans="1:36" x14ac:dyDescent="0.25" outlineLevel="1" collapsed="1">
      <c r="A18" s="8"/>
      <c r="B18" s="8"/>
      <c r="C18" s="122" t="str">
        <f>C47&amp;" Methodology"</f>
        <v>Professional Services and Other Revenue Methodology</v>
      </c>
      <c r="D18" s="25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240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59"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0"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1" t="s">
        <v>243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0" t="s">
        <v>244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spans="1:36" x14ac:dyDescent="0.25" outlineLevel="1" collapsed="1">
      <c r="A26" s="257"/>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57"/>
      <c r="B27" s="262"/>
      <c r="C27" s="263"/>
      <c r="D27" s="264"/>
      <c r="E27" s="264"/>
      <c r="F27" s="264"/>
      <c r="G27" s="264"/>
      <c r="H27" s="264"/>
      <c r="I27" s="264"/>
      <c r="J27" s="264"/>
      <c r="K27" s="264"/>
      <c r="L27" s="264"/>
      <c r="M27" s="264"/>
      <c r="N27" s="264"/>
      <c r="O27" s="264"/>
      <c r="P27" s="264"/>
      <c r="Q27" s="264"/>
      <c r="R27" s="264"/>
      <c r="S27" s="264"/>
      <c r="T27" s="264"/>
      <c r="U27" s="264"/>
      <c r="V27" s="264"/>
      <c r="W27" s="264"/>
      <c r="X27" s="264"/>
      <c r="Y27" s="264"/>
      <c r="Z27" s="264"/>
      <c r="AA27" s="264"/>
      <c r="AB27" s="264"/>
      <c r="AC27" s="264"/>
      <c r="AD27" s="264"/>
      <c r="AE27" s="264"/>
      <c r="AF27" s="264"/>
      <c r="AG27" s="265"/>
      <c r="AH27" s="262"/>
      <c r="AI27" s="266" t="s">
        <v>101</v>
      </c>
      <c r="AJ27" s="173"/>
    </row>
    <row r="28" ht="12.75" customHeight="1" spans="1:36" x14ac:dyDescent="0.25">
      <c r="A28" s="257" t="s">
        <v>3</v>
      </c>
      <c r="B28" s="8"/>
      <c r="C28" s="267" t="s">
        <v>31</v>
      </c>
      <c r="D28" s="268"/>
      <c r="E28" s="268"/>
      <c r="F28" s="269" t="str">
        <f>Model!F$25</f>
        <v>1Q23</v>
      </c>
      <c r="G28" s="193" t="str">
        <f>Model!G$25</f>
        <v>2Q23</v>
      </c>
      <c r="H28" s="193" t="str">
        <f>Model!H$25</f>
        <v>3Q23</v>
      </c>
      <c r="I28" s="193" t="str">
        <f>Model!I$25</f>
        <v>4Q23</v>
      </c>
      <c r="J28" s="193">
        <f>Model!J$25</f>
        <v>2023</v>
      </c>
      <c r="K28" s="193" t="str">
        <f>Model!K$25</f>
        <v>1Q24</v>
      </c>
      <c r="L28" s="193" t="str">
        <f>Model!L$25</f>
        <v>2Q24</v>
      </c>
      <c r="M28" s="193" t="str">
        <f>Model!M$25</f>
        <v>3Q24</v>
      </c>
      <c r="N28" s="193" t="str">
        <f>Model!N$25</f>
        <v>4Q24</v>
      </c>
      <c r="O28" s="193">
        <f>Model!O$25</f>
        <v>2024</v>
      </c>
      <c r="P28" s="193" t="str">
        <f>Model!P$25</f>
        <v>1Q25</v>
      </c>
      <c r="Q28" s="193" t="str">
        <f>Model!Q$25</f>
        <v>2Q25</v>
      </c>
      <c r="R28" s="193" t="str">
        <f>Model!R$25</f>
        <v>3Q25</v>
      </c>
      <c r="S28" s="193" t="str">
        <f>Model!S$25</f>
        <v>4Q25</v>
      </c>
      <c r="T28" s="193">
        <f>Model!T$25</f>
        <v>2025</v>
      </c>
      <c r="U28" s="193" t="str">
        <f>Model!U$25</f>
        <v>1Q26e</v>
      </c>
      <c r="V28" s="193" t="str">
        <f>Model!V$25</f>
        <v>2Q26e</v>
      </c>
      <c r="W28" s="193" t="str">
        <f>Model!W$25</f>
        <v>3Q26</v>
      </c>
      <c r="X28" s="193" t="str">
        <f>Model!X$25</f>
        <v>4Q26e</v>
      </c>
      <c r="Y28" s="193" t="str">
        <f>Model!Y$25</f>
        <v>2026e</v>
      </c>
      <c r="Z28" s="193" t="str">
        <f>Model!Z$25</f>
        <v>1Q27e</v>
      </c>
      <c r="AA28" s="193" t="str">
        <f>Model!AA$25</f>
        <v>2Q27e</v>
      </c>
      <c r="AB28" s="193" t="str">
        <f>Model!AB$25</f>
        <v>3Q27e</v>
      </c>
      <c r="AC28" s="193" t="str">
        <f>Model!AC$25</f>
        <v>4Q27e</v>
      </c>
      <c r="AD28" s="193" t="str">
        <f>Model!AD$25</f>
        <v>2027e</v>
      </c>
      <c r="AE28" s="193" t="str">
        <f>Model!AE$25</f>
        <v>2028e</v>
      </c>
      <c r="AF28" s="193" t="str">
        <f>Model!AF$25</f>
        <v>2029e</v>
      </c>
      <c r="AG28" s="194" t="str">
        <f>Model!AG$25</f>
        <v>2030e</v>
      </c>
      <c r="AH28" s="270"/>
      <c r="AI28" s="271" t="s">
        <v>102</v>
      </c>
      <c r="AJ28" s="194" t="s">
        <v>103</v>
      </c>
    </row>
    <row r="29" ht="12.75" customHeight="1" spans="1:36" x14ac:dyDescent="0.25">
      <c r="A29" s="8"/>
      <c r="B29" s="8"/>
      <c r="C29" s="8"/>
      <c r="D29" s="8"/>
      <c r="E29" s="8"/>
      <c r="F29" s="272"/>
      <c r="G29" s="272"/>
      <c r="H29" s="272"/>
      <c r="I29" s="272"/>
      <c r="J29" s="273"/>
      <c r="K29" s="272"/>
      <c r="L29" s="272"/>
      <c r="M29" s="272"/>
      <c r="N29" s="272"/>
      <c r="O29" s="273"/>
      <c r="P29" s="272"/>
      <c r="Q29" s="272"/>
      <c r="R29" s="272"/>
      <c r="S29" s="272"/>
      <c r="T29" s="273"/>
      <c r="U29" s="274"/>
      <c r="V29" s="274"/>
      <c r="W29" s="274"/>
      <c r="X29" s="274"/>
      <c r="Y29" s="275"/>
      <c r="Z29" s="274"/>
      <c r="AA29" s="274"/>
      <c r="AB29" s="274"/>
      <c r="AC29" s="274"/>
      <c r="AD29" s="275"/>
      <c r="AE29" s="275"/>
      <c r="AF29" s="275"/>
      <c r="AG29" s="275"/>
      <c r="AH29" s="8"/>
      <c r="AI29" s="182"/>
      <c r="AJ29" s="276"/>
    </row>
    <row r="30" ht="12.75" customHeight="1" spans="1:36" x14ac:dyDescent="0.25">
      <c r="A30" s="8"/>
      <c r="B30" s="8"/>
      <c r="C30" s="8" t="s">
        <v>245</v>
      </c>
      <c r="D30" s="8"/>
      <c r="E30" s="8"/>
      <c r="F30" s="277">
        <f>'Segment Analysis'!F8</f>
        <v>3581.1000000000004</v>
      </c>
      <c r="G30" s="277">
        <f>'Segment Analysis'!G8</f>
        <v>3725.9000000000005</v>
      </c>
      <c r="H30" s="277">
        <f>'Segment Analysis'!H8</f>
        <v>3825.9</v>
      </c>
      <c r="I30" s="277">
        <f>'Segment Analysis'!I8</f>
        <v>3831.6</v>
      </c>
      <c r="J30" s="278">
        <f>'Segment Analysis'!J8</f>
        <v>14964.500000000002</v>
      </c>
      <c r="K30" s="277">
        <f>'Segment Analysis'!K8</f>
        <v>3861.7000000000007</v>
      </c>
      <c r="L30" s="277">
        <f>'Segment Analysis'!L8</f>
        <v>4047.9999999999995</v>
      </c>
      <c r="M30" s="277">
        <f>'Segment Analysis'!M8</f>
        <v>4076.2000000000003</v>
      </c>
      <c r="N30" s="277">
        <f>'Segment Analysis'!N8</f>
        <v>4046</v>
      </c>
      <c r="O30" s="278">
        <f>'Segment Analysis'!O8</f>
        <v>16031.900000000001</v>
      </c>
      <c r="P30" s="277">
        <f>'Segment Analysis'!P8</f>
        <v>4009</v>
      </c>
      <c r="Q30" s="277">
        <f>'Segment Analysis'!Q8</f>
        <v>4235</v>
      </c>
      <c r="R30" s="277">
        <f>'Segment Analysis'!R8</f>
        <v>4212</v>
      </c>
      <c r="S30" s="277">
        <f>'Segment Analysis'!S8</f>
        <v>4136</v>
      </c>
      <c r="T30" s="278">
        <f>'Segment Analysis'!T8</f>
        <v>16592</v>
      </c>
      <c r="U30" s="279">
        <f>SUM(U32,U35,U38,U41,U44,U47,)</f>
        <v>4152.631</v>
      </c>
      <c r="V30" s="279">
        <f>SUM(V32,V35,V38,V41,V44,V47,)</f>
        <v>4379.486</v>
      </c>
      <c r="W30" s="279">
        <f>SUM(W32,W35,W38,W41,W44,W47,)</f>
        <v>4358.186</v>
      </c>
      <c r="X30" s="279">
        <f>SUM(X32,X35,X38,X41,X44,X47,)</f>
        <v>4310.51</v>
      </c>
      <c r="Y30" s="280">
        <f>SUM(U30:X30)</f>
        <v>17200.813000000002</v>
      </c>
      <c r="Z30" s="279">
        <f>SUM(Z32,Z35,Z38,Z41,Z44,Z47,)</f>
        <v>4358.665169</v>
      </c>
      <c r="AA30" s="279">
        <f>SUM(AA32,AA35,AA38,AA41,AA44,AA47,)</f>
        <v>4593.347566</v>
      </c>
      <c r="AB30" s="279">
        <f>SUM(AB32,AB35,AB38,AB41,AB44,AB47,)</f>
        <v>4573.971099999999</v>
      </c>
      <c r="AC30" s="279">
        <f>SUM(AC32,AC35,AC38,AC41,AC44,AC47,)</f>
        <v>4522.678832</v>
      </c>
      <c r="AD30" s="280">
        <f>SUM(Z30:AC30)</f>
        <v>18048.662666999997</v>
      </c>
      <c r="AE30" s="280">
        <f>SUM(AE32,AE35,AE38,AE41,AE44,AE47,)</f>
        <v>18921.749183770997</v>
      </c>
      <c r="AF30" s="280">
        <f>SUM(AF32,AF35,AF38,AF41,AF44,AF47,)</f>
        <v>19882.732929281065</v>
      </c>
      <c r="AG30" s="280">
        <f>SUM(AG32,AG35,AG38,AG41,AG44,AG47,)</f>
        <v>20839.078807590817</v>
      </c>
      <c r="AH30" s="8"/>
      <c r="AI30" s="281">
        <f>IFERROR((T30/J30)^(1/2)-1,"--")</f>
        <v>0.05297549472700114</v>
      </c>
      <c r="AJ30" s="282">
        <f>IFERROR((AG30/T30)^(1/5)-1,"--")</f>
        <v>0.04663669162390294</v>
      </c>
    </row>
    <row r="31" ht="12.75" customHeight="1" spans="1:36" x14ac:dyDescent="0.25">
      <c r="A31" s="283"/>
      <c r="B31" s="284"/>
      <c r="C31" s="285" t="str">
        <f>IF($C$25="Quarterly","% Growth QoQ","% Growth YoY")</f>
        <v>% Growth YoY</v>
      </c>
      <c r="D31" s="284"/>
      <c r="E31" s="284"/>
      <c r="F31" s="286"/>
      <c r="G31" s="287" t="str">
        <f>IF($C$25="Annual",'Segment Analysis'!G173,'Segment Analysis'!G193)</f>
        <v>N/A</v>
      </c>
      <c r="H31" s="287" t="str">
        <f>IF($C$25="Annual",'Segment Analysis'!H173,'Segment Analysis'!H193)</f>
        <v>N/A</v>
      </c>
      <c r="I31" s="287" t="str">
        <f>IF($C$25="Annual",'Segment Analysis'!I173,'Segment Analysis'!I193)</f>
        <v>N/A</v>
      </c>
      <c r="J31" s="288"/>
      <c r="K31" s="287">
        <f>IF($C$25="Annual",'Segment Analysis'!K173,'Segment Analysis'!K193)</f>
        <v>0.0783558124598589</v>
      </c>
      <c r="L31" s="287">
        <f>IF($C$25="Annual",'Segment Analysis'!L173,'Segment Analysis'!L193)</f>
        <v>0.08644891167234725</v>
      </c>
      <c r="M31" s="287">
        <f>IF($C$25="Annual",'Segment Analysis'!M173,'Segment Analysis'!M193)</f>
        <v>0.06542251496379947</v>
      </c>
      <c r="N31" s="287">
        <f>IF($C$25="Annual",'Segment Analysis'!N173,'Segment Analysis'!N193)</f>
        <v>0.0559557365069423</v>
      </c>
      <c r="O31" s="288">
        <f>IF($C$25="Annual",'Segment Analysis'!O173,'Segment Analysis'!O193)</f>
        <v>0.07132881152059878</v>
      </c>
      <c r="P31" s="287">
        <f>IF($C$25="Annual",'Segment Analysis'!P173,'Segment Analysis'!P193)</f>
        <v>0.0381438226687727</v>
      </c>
      <c r="Q31" s="287">
        <f>IF($C$25="Annual",'Segment Analysis'!Q173,'Segment Analysis'!Q193)</f>
        <v>0.04619565217391308</v>
      </c>
      <c r="R31" s="287">
        <f>IF($C$25="Annual",'Segment Analysis'!R173,'Segment Analysis'!R193)</f>
        <v>0.03331534272116188</v>
      </c>
      <c r="S31" s="287">
        <f>IF($C$25="Annual",'Segment Analysis'!S173,'Segment Analysis'!S193)</f>
        <v>0.022244191794364765</v>
      </c>
      <c r="T31" s="288">
        <f>IF($C$25="Annual",'Segment Analysis'!T173,'Segment Analysis'!T193)</f>
        <v>0.03493659516339287</v>
      </c>
      <c r="U31" s="289">
        <f>IFERROR(U30/S30-1,"--")</f>
        <v>0.004021034816247715</v>
      </c>
      <c r="V31" s="289">
        <f>IFERROR(V30/U30-1,"--")</f>
        <v>0.054629221811425044</v>
      </c>
      <c r="W31" s="289">
        <f>IFERROR(W30/V30-1,"--")</f>
        <v>-0.0048635844480380275</v>
      </c>
      <c r="X31" s="289">
        <f>IFERROR(X30/W30-1,"--")</f>
        <v>-0.010939413783624508</v>
      </c>
      <c r="Y31" s="290">
        <f>IFERROR(Y30/T30-1,"--")</f>
        <v>0.03669316538090661</v>
      </c>
      <c r="Z31" s="289">
        <f>IFERROR(Z30/X30-1,"--")</f>
        <v>0.01117157111339484</v>
      </c>
      <c r="AA31" s="289">
        <f>IFERROR(AA30/Z30-1,"--")</f>
        <v>0.0538427220033153</v>
      </c>
      <c r="AB31" s="289">
        <f>IFERROR(AB30/AA30-1,"--")</f>
        <v>-0.004218375753541115</v>
      </c>
      <c r="AC31" s="289">
        <f>IFERROR(AC30/AB30-1,"--")</f>
        <v>-0.011213946673165331</v>
      </c>
      <c r="AD31" s="290">
        <f>IFERROR(AD30/Y30-1,"--")</f>
        <v>0.049291255419147584</v>
      </c>
      <c r="AE31" s="290">
        <f>IFERROR(AE30/AD30-1,"--")</f>
        <v>0.0483740281969669</v>
      </c>
      <c r="AF31" s="290">
        <f>IFERROR(AF30/AE30-1,"--")</f>
        <v>0.050787257360661586</v>
      </c>
      <c r="AG31" s="290">
        <f>IFERROR(AG30/AF30-1,"--")</f>
        <v>0.048099317217169535</v>
      </c>
      <c r="AH31" s="284"/>
      <c r="AI31" s="291"/>
      <c r="AJ31" s="292"/>
    </row>
    <row r="32" ht="12.75" customHeight="1" spans="1:36" x14ac:dyDescent="0.25">
      <c r="A32" s="8"/>
      <c r="B32" s="8"/>
      <c r="C32" s="8" t="str">
        <f>'Segment Analysis'!C9</f>
        <v>Collection Revenue</v>
      </c>
      <c r="D32" s="8"/>
      <c r="E32" s="8"/>
      <c r="F32" s="277">
        <f>'Segment Analysis'!F9</f>
        <v>2458.4</v>
      </c>
      <c r="G32" s="277">
        <f>'Segment Analysis'!G9</f>
        <v>2543</v>
      </c>
      <c r="H32" s="277">
        <f>'Segment Analysis'!H9</f>
        <v>2616.5</v>
      </c>
      <c r="I32" s="277">
        <f>'Segment Analysis'!I9</f>
        <v>2635</v>
      </c>
      <c r="J32" s="278">
        <f>'Segment Analysis'!J9</f>
        <v>10252.9</v>
      </c>
      <c r="K32" s="277">
        <f>'Segment Analysis'!K9</f>
        <v>2662.8</v>
      </c>
      <c r="L32" s="277">
        <f>'Segment Analysis'!L9</f>
        <v>2722.8</v>
      </c>
      <c r="M32" s="277">
        <f>'Segment Analysis'!M9</f>
        <v>2741.8</v>
      </c>
      <c r="N32" s="277">
        <f>'Segment Analysis'!N9</f>
        <v>2728</v>
      </c>
      <c r="O32" s="278">
        <f>'Segment Analysis'!O9</f>
        <v>10855.400000000001</v>
      </c>
      <c r="P32" s="277">
        <f>'Segment Analysis'!P9</f>
        <v>2743</v>
      </c>
      <c r="Q32" s="277">
        <f>'Segment Analysis'!Q9</f>
        <v>2822</v>
      </c>
      <c r="R32" s="277">
        <f>'Segment Analysis'!R9</f>
        <v>2835</v>
      </c>
      <c r="S32" s="277">
        <f>'Segment Analysis'!S9</f>
        <v>2833</v>
      </c>
      <c r="T32" s="278">
        <f>'Segment Analysis'!T9</f>
        <v>11233</v>
      </c>
      <c r="U32" s="279">
        <f>IF(Segment1_Rev_Methodology="Segment",U53,IF(Segment1_Rev_Methodology="Activity-Based",U91,IF(Segment1_Rev_Methodology="Backlog",U165,"--")))</f>
        <v>2841.748</v>
      </c>
      <c r="V32" s="279">
        <f>IF(Segment1_Rev_Methodology="Segment",V53,IF(Segment1_Rev_Methodology="Activity-Based",V91,IF(Segment1_Rev_Methodology="Backlog",V165,"--")))</f>
        <v>2932.058</v>
      </c>
      <c r="W32" s="279">
        <f>IF(Segment1_Rev_Methodology="Segment",W53,IF(Segment1_Rev_Methodology="Activity-Based",W91,IF(Segment1_Rev_Methodology="Backlog",W165,"--")))</f>
        <v>2945.5649999999996</v>
      </c>
      <c r="X32" s="279">
        <f>IF(Segment1_Rev_Methodology="Segment",X53,IF(Segment1_Rev_Methodology="Activity-Based",X91,IF(Segment1_Rev_Methodology="Backlog",X165,"--")))</f>
        <v>2954.819</v>
      </c>
      <c r="Y32" s="280">
        <f>SUM(U32:X32)</f>
        <v>11674.189999999999</v>
      </c>
      <c r="Z32" s="279">
        <f>IF(Segment1_Rev_Methodology="Segment",Z53,IF(Segment1_Rev_Methodology="Activity-Based",Z91,IF(Segment1_Rev_Methodology="Backlog",Z165,"--")))</f>
        <v>2983.8354000000004</v>
      </c>
      <c r="AA32" s="279">
        <f>IF(Segment1_Rev_Methodology="Segment",AA53,IF(Segment1_Rev_Methodology="Activity-Based",AA91,IF(Segment1_Rev_Methodology="Backlog",AA165,"--")))</f>
        <v>3075.728842</v>
      </c>
      <c r="AB32" s="279">
        <f>IF(Segment1_Rev_Methodology="Segment",AB53,IF(Segment1_Rev_Methodology="Activity-Based",AB91,IF(Segment1_Rev_Methodology="Backlog",AB165,"--")))</f>
        <v>3095.7888149999994</v>
      </c>
      <c r="AC32" s="279">
        <f>IF(Segment1_Rev_Methodology="Segment",AC53,IF(Segment1_Rev_Methodology="Activity-Based",AC91,IF(Segment1_Rev_Methodology="Backlog",AC165,"--")))</f>
        <v>3105.514769</v>
      </c>
      <c r="AD32" s="280">
        <f>SUM(Z32:AC32)</f>
        <v>12260.867826</v>
      </c>
      <c r="AE32" s="280">
        <f>IF(Segment1_Rev_Methodology="Segment",AE53,IF(Segment1_Rev_Methodology="Activity-Based",AE91,IF(Segment1_Rev_Methodology="Backlog",AE165,"--")))</f>
        <v>12849.389481648</v>
      </c>
      <c r="AF32" s="280">
        <f>IF(Segment1_Rev_Methodology="Segment",AF53,IF(Segment1_Rev_Methodology="Activity-Based",AF91,IF(Segment1_Rev_Methodology="Backlog",AF165,"--")))</f>
        <v>13504.708345212048</v>
      </c>
      <c r="AG32" s="280">
        <f>IF(Segment1_Rev_Methodology="Segment",AG53,IF(Segment1_Rev_Methodology="Activity-Based",AG91,IF(Segment1_Rev_Methodology="Backlog",AG165,"--")))</f>
        <v>14098.915512401378</v>
      </c>
      <c r="AH32" s="8"/>
      <c r="AI32" s="281">
        <f>IFERROR((T32/J32)^(1/2)-1,"--")</f>
        <v>0.0467055299947865</v>
      </c>
      <c r="AJ32" s="282">
        <f>IFERROR((AG32/T32)^(1/5)-1,"--")</f>
        <v>0.046497005179348516</v>
      </c>
    </row>
    <row r="33" ht="12.75" customHeight="1" spans="1:36" x14ac:dyDescent="0.25">
      <c r="A33" s="283"/>
      <c r="B33" s="284"/>
      <c r="C33" s="285" t="str">
        <f>IF($C$25="Quarterly","% Growth QoQ","% Growth YoY")</f>
        <v>% Growth YoY</v>
      </c>
      <c r="D33" s="284"/>
      <c r="E33" s="284"/>
      <c r="F33" s="286"/>
      <c r="G33" s="287" t="str">
        <f>IF($C$25="Annual",'Segment Analysis'!G174,'Segment Analysis'!G194)</f>
        <v>N/A</v>
      </c>
      <c r="H33" s="287" t="str">
        <f>IF($C$25="Annual",'Segment Analysis'!H174,'Segment Analysis'!H194)</f>
        <v>N/A</v>
      </c>
      <c r="I33" s="287" t="str">
        <f>IF($C$25="Annual",'Segment Analysis'!I174,'Segment Analysis'!I194)</f>
        <v>N/A</v>
      </c>
      <c r="J33" s="288"/>
      <c r="K33" s="287">
        <f>IF($C$25="Annual",'Segment Analysis'!K174,'Segment Analysis'!K194)</f>
        <v>0.08314350797266523</v>
      </c>
      <c r="L33" s="287">
        <f>IF($C$25="Annual",'Segment Analysis'!L174,'Segment Analysis'!L194)</f>
        <v>0.07070389303971703</v>
      </c>
      <c r="M33" s="287">
        <f>IF($C$25="Annual",'Segment Analysis'!M174,'Segment Analysis'!M194)</f>
        <v>0.047888400535065934</v>
      </c>
      <c r="N33" s="287">
        <f>IF($C$25="Annual",'Segment Analysis'!N174,'Segment Analysis'!N194)</f>
        <v>0.03529411764705892</v>
      </c>
      <c r="O33" s="288">
        <f>IF($C$25="Annual",'Segment Analysis'!O174,'Segment Analysis'!O194)</f>
        <v>0.05876386193174632</v>
      </c>
      <c r="P33" s="287">
        <f>IF($C$25="Annual",'Segment Analysis'!P174,'Segment Analysis'!P194)</f>
        <v>0.030118672074507913</v>
      </c>
      <c r="Q33" s="287">
        <f>IF($C$25="Annual",'Segment Analysis'!Q174,'Segment Analysis'!Q194)</f>
        <v>0.03643308359042163</v>
      </c>
      <c r="R33" s="287">
        <f>IF($C$25="Annual",'Segment Analysis'!R174,'Segment Analysis'!R194)</f>
        <v>0.03399226785323495</v>
      </c>
      <c r="S33" s="287">
        <f>IF($C$25="Annual",'Segment Analysis'!S174,'Segment Analysis'!S194)</f>
        <v>0.03848973607038131</v>
      </c>
      <c r="T33" s="288">
        <f>IF($C$25="Annual",'Segment Analysis'!T174,'Segment Analysis'!T194)</f>
        <v>0.034784531201061064</v>
      </c>
      <c r="U33" s="289">
        <f>IFERROR(U32/S32-1,"--")</f>
        <v>0.003087892693258043</v>
      </c>
      <c r="V33" s="289">
        <f>IFERROR(V32/U32-1,"--")</f>
        <v>0.03177973557120484</v>
      </c>
      <c r="W33" s="289">
        <f>IFERROR(W32/V32-1,"--")</f>
        <v>0.004606661941884971</v>
      </c>
      <c r="X33" s="289">
        <f>IFERROR(X32/W32-1,"--")</f>
        <v>0.003141672310745358</v>
      </c>
      <c r="Y33" s="290">
        <f>IFERROR(Y32/T32-1,"--")</f>
        <v>0.039276239651028</v>
      </c>
      <c r="Z33" s="289">
        <f>IFERROR(Z32/X32-1,"--")</f>
        <v>0.009820026201266652</v>
      </c>
      <c r="AA33" s="289">
        <f>IFERROR(AA32/Z32-1,"--")</f>
        <v>0.03079708820399385</v>
      </c>
      <c r="AB33" s="289">
        <f>IFERROR(AB32/AA32-1,"--")</f>
        <v>0.00652202259382384</v>
      </c>
      <c r="AC33" s="289">
        <f>IFERROR(AC32/AB32-1,"--")</f>
        <v>0.003141672310745358</v>
      </c>
      <c r="AD33" s="290">
        <f>IFERROR(AD32/Y32-1,"--")</f>
        <v>0.050254263978914304</v>
      </c>
      <c r="AE33" s="290">
        <f>IFERROR(AE32/AD32-1,"--")</f>
        <v>0.04800000000000004</v>
      </c>
      <c r="AF33" s="290">
        <f>IFERROR(AF32/AE32-1,"--")</f>
        <v>0.050999999999999934</v>
      </c>
      <c r="AG33" s="290">
        <f>IFERROR(AG32/AF32-1,"--")</f>
        <v>0.04400000000000004</v>
      </c>
      <c r="AH33" s="284"/>
      <c r="AI33" s="291"/>
      <c r="AJ33" s="292"/>
    </row>
    <row r="34" ht="12.75" customHeight="1" spans="1:36" x14ac:dyDescent="0.25">
      <c r="A34" s="283"/>
      <c r="B34" s="284"/>
      <c r="C34" s="111" t="s">
        <v>246</v>
      </c>
      <c r="D34" s="284"/>
      <c r="E34" s="284"/>
      <c r="F34" s="287">
        <f>'Segment Analysis'!F17</f>
        <v>0.6864929770182345</v>
      </c>
      <c r="G34" s="287">
        <f>'Segment Analysis'!G17</f>
        <v>0.6825196596795404</v>
      </c>
      <c r="H34" s="287">
        <f>'Segment Analysis'!H17</f>
        <v>0.6838913719647665</v>
      </c>
      <c r="I34" s="287">
        <f>'Segment Analysis'!I17</f>
        <v>0.6877022653721683</v>
      </c>
      <c r="J34" s="288">
        <f>'Segment Analysis'!J17</f>
        <v>0.6851481840355507</v>
      </c>
      <c r="K34" s="287">
        <f>'Segment Analysis'!K17</f>
        <v>0.6895408757800968</v>
      </c>
      <c r="L34" s="287">
        <f>'Segment Analysis'!L17</f>
        <v>0.6726284584980239</v>
      </c>
      <c r="M34" s="287">
        <f>'Segment Analysis'!M17</f>
        <v>0.6726362788871989</v>
      </c>
      <c r="N34" s="287">
        <f>'Segment Analysis'!N17</f>
        <v>0.6742461690558577</v>
      </c>
      <c r="O34" s="288">
        <f>'Segment Analysis'!O17</f>
        <v>0.6771125069392898</v>
      </c>
      <c r="P34" s="287">
        <f>'Segment Analysis'!P17</f>
        <v>0.6842105263157895</v>
      </c>
      <c r="Q34" s="287">
        <f>'Segment Analysis'!Q17</f>
        <v>0.6663518299881936</v>
      </c>
      <c r="R34" s="287">
        <f>'Segment Analysis'!R17</f>
        <v>0.6730769230769231</v>
      </c>
      <c r="S34" s="287">
        <f>'Segment Analysis'!S17</f>
        <v>0.6849613152804642</v>
      </c>
      <c r="T34" s="288">
        <f>'Segment Analysis'!T17</f>
        <v>0.6770130183220829</v>
      </c>
      <c r="U34" s="289">
        <f>U32/U$30</f>
        <v>0.6843247088412141</v>
      </c>
      <c r="V34" s="289">
        <f>V32/V$30</f>
        <v>0.6694982013871035</v>
      </c>
      <c r="W34" s="289">
        <f>W32/W$30</f>
        <v>0.6758695016688135</v>
      </c>
      <c r="X34" s="289">
        <f t="shared" ref="X34:AG34" si="0">X32/X$30</f>
        <v>0.6854917399565248</v>
      </c>
      <c r="Y34" s="290">
        <f t="shared" si="0"/>
        <v>0.6786998963362951</v>
      </c>
      <c r="Z34" s="289">
        <f t="shared" si="0"/>
        <v>0.6845755028906192</v>
      </c>
      <c r="AA34" s="289">
        <f t="shared" si="0"/>
        <v>0.6696050751235487</v>
      </c>
      <c r="AB34" s="289">
        <f t="shared" si="0"/>
        <v>0.6768273667054872</v>
      </c>
      <c r="AC34" s="289">
        <f t="shared" si="0"/>
        <v>0.6866538360024765</v>
      </c>
      <c r="AD34" s="290">
        <f t="shared" si="0"/>
        <v>0.6793227870792695</v>
      </c>
      <c r="AE34" s="290">
        <f t="shared" si="0"/>
        <v>0.679080425221406</v>
      </c>
      <c r="AF34" s="290">
        <f t="shared" si="0"/>
        <v>0.6792179120066449</v>
      </c>
      <c r="AG34" s="290">
        <f t="shared" si="0"/>
        <v>0.6765613606329721</v>
      </c>
      <c r="AH34" s="284"/>
      <c r="AI34" s="293"/>
      <c r="AJ34" s="294"/>
    </row>
    <row r="35" ht="12.75" customHeight="1" spans="1:36" x14ac:dyDescent="0.25" outlineLevel="1" collapsed="1">
      <c r="A35" s="8"/>
      <c r="B35" s="8"/>
      <c r="C35" s="8" t="str">
        <f>'Segment Analysis'!C10</f>
        <v>Landfill Revenue</v>
      </c>
      <c r="D35" s="8"/>
      <c r="E35" s="8"/>
      <c r="F35" s="277">
        <f>'Segment Analysis'!F10</f>
        <v>392.6</v>
      </c>
      <c r="G35" s="277">
        <f>'Segment Analysis'!G10</f>
        <v>431</v>
      </c>
      <c r="H35" s="277">
        <f>'Segment Analysis'!H10</f>
        <v>436.3</v>
      </c>
      <c r="I35" s="277">
        <f>'Segment Analysis'!I10</f>
        <v>419.6</v>
      </c>
      <c r="J35" s="278">
        <f>'Segment Analysis'!J10</f>
        <v>1679.5</v>
      </c>
      <c r="K35" s="277">
        <f>'Segment Analysis'!K10</f>
        <v>404.4</v>
      </c>
      <c r="L35" s="277">
        <f>'Segment Analysis'!L10</f>
        <v>440.2</v>
      </c>
      <c r="M35" s="277">
        <f>'Segment Analysis'!M10</f>
        <v>452.8</v>
      </c>
      <c r="N35" s="277">
        <f>'Segment Analysis'!N10</f>
        <v>443</v>
      </c>
      <c r="O35" s="278">
        <f>'Segment Analysis'!O10</f>
        <v>1740.3999999999999</v>
      </c>
      <c r="P35" s="277">
        <f>'Segment Analysis'!P10</f>
        <v>421</v>
      </c>
      <c r="Q35" s="277">
        <f>'Segment Analysis'!Q10</f>
        <v>516</v>
      </c>
      <c r="R35" s="277">
        <f>'Segment Analysis'!R10</f>
        <v>516</v>
      </c>
      <c r="S35" s="277">
        <f>'Segment Analysis'!S10</f>
        <v>467</v>
      </c>
      <c r="T35" s="278">
        <f>'Segment Analysis'!T10</f>
        <v>1920</v>
      </c>
      <c r="U35" s="279">
        <f>IF(Segment2_Rev_Methodology="Segment",U59,IF(Segment2_Rev_Methodology="Activity-Based",U103,IF(Segment2_Rev_Methodology="Backlog",U177,"--")))</f>
        <v>439.10299999999995</v>
      </c>
      <c r="V35" s="279">
        <f>IF(Segment2_Rev_Methodology="Segment",V59,IF(Segment2_Rev_Methodology="Activity-Based",V103,IF(Segment2_Rev_Methodology="Backlog",V177,"--")))</f>
        <v>519.612</v>
      </c>
      <c r="W35" s="279">
        <f>IF(Segment2_Rev_Methodology="Segment",W59,IF(Segment2_Rev_Methodology="Activity-Based",W103,IF(Segment2_Rev_Methodology="Backlog",W177,"--")))</f>
        <v>520.6439999999999</v>
      </c>
      <c r="X35" s="279">
        <f>IF(Segment2_Rev_Methodology="Segment",X59,IF(Segment2_Rev_Methodology="Activity-Based",X103,IF(Segment2_Rev_Methodology="Backlog",X177,"--")))</f>
        <v>488.94899999999996</v>
      </c>
      <c r="Y35" s="280">
        <f>SUM(U35:X35)</f>
        <v>1968.308</v>
      </c>
      <c r="Z35" s="279">
        <f>IF(Segment2_Rev_Methodology="Segment",Z59,IF(Segment2_Rev_Methodology="Activity-Based",Z103,IF(Segment2_Rev_Methodology="Backlog",Z177,"--")))</f>
        <v>459.74084099999993</v>
      </c>
      <c r="AA35" s="279">
        <f>IF(Segment2_Rev_Methodology="Segment",AA59,IF(Segment2_Rev_Methodology="Activity-Based",AA103,IF(Segment2_Rev_Methodology="Backlog",AA177,"--")))</f>
        <v>546.6318239999999</v>
      </c>
      <c r="AB35" s="279">
        <f>IF(Segment2_Rev_Methodology="Segment",AB59,IF(Segment2_Rev_Methodology="Activity-Based",AB103,IF(Segment2_Rev_Methodology="Backlog",AB177,"--")))</f>
        <v>545.6349119999999</v>
      </c>
      <c r="AC35" s="279">
        <f>IF(Segment2_Rev_Methodology="Segment",AC59,IF(Segment2_Rev_Methodology="Activity-Based",AC103,IF(Segment2_Rev_Methodology="Backlog",AC177,"--")))</f>
        <v>510.9517049999999</v>
      </c>
      <c r="AD35" s="280">
        <f>SUM(Z35:AC35)</f>
        <v>2062.959282</v>
      </c>
      <c r="AE35" s="280">
        <f>IF(Segment2_Rev_Methodology="Segment",AE59,IF(Segment2_Rev_Methodology="Activity-Based",AE103,IF(Segment2_Rev_Methodology="Backlog",AE177,"--")))</f>
        <v>2180.547961074</v>
      </c>
      <c r="AF35" s="280">
        <f>IF(Segment2_Rev_Methodology="Segment",AF59,IF(Segment2_Rev_Methodology="Activity-Based",AF103,IF(Segment2_Rev_Methodology="Backlog",AF177,"--")))</f>
        <v>2302.658646894144</v>
      </c>
      <c r="AG35" s="280">
        <f>IF(Segment2_Rev_Methodology="Segment",AG59,IF(Segment2_Rev_Methodology="Activity-Based",AG103,IF(Segment2_Rev_Methodology="Backlog",AG177,"--")))</f>
        <v>2427.002213826428</v>
      </c>
      <c r="AH35" s="8"/>
      <c r="AI35" s="281">
        <f>IFERROR((T35/J35)^(1/3)-1,"--")</f>
        <v>0.04561965955108871</v>
      </c>
      <c r="AJ35" s="282">
        <f>IFERROR((AG35/T35)^(1/5)-1,"--")</f>
        <v>0.047981916575610795</v>
      </c>
    </row>
    <row r="36" ht="12.75" customHeight="1" spans="1:36" x14ac:dyDescent="0.25" outlineLevel="1" collapsed="1">
      <c r="A36" s="283"/>
      <c r="B36" s="284"/>
      <c r="C36" s="111" t="s">
        <v>247</v>
      </c>
      <c r="D36" s="284"/>
      <c r="E36" s="284"/>
      <c r="F36" s="286"/>
      <c r="G36" s="287" t="str">
        <f>IF($C$25="Annual",'Segment Analysis'!G175,'Segment Analysis'!G195)</f>
        <v>N/A</v>
      </c>
      <c r="H36" s="287" t="str">
        <f>IF($C$25="Annual",'Segment Analysis'!H175,'Segment Analysis'!H195)</f>
        <v>N/A</v>
      </c>
      <c r="I36" s="287" t="str">
        <f>IF($C$25="Annual",'Segment Analysis'!I175,'Segment Analysis'!I195)</f>
        <v>N/A</v>
      </c>
      <c r="J36" s="288"/>
      <c r="K36" s="287">
        <f>IF($C$25="Annual",'Segment Analysis'!K175,'Segment Analysis'!K195)</f>
        <v>0.030056036678553166</v>
      </c>
      <c r="L36" s="287">
        <f>IF($C$25="Annual",'Segment Analysis'!L175,'Segment Analysis'!L195)</f>
        <v>0.02134570765661259</v>
      </c>
      <c r="M36" s="287">
        <f>IF($C$25="Annual",'Segment Analysis'!M175,'Segment Analysis'!M195)</f>
        <v>0.03781801512720606</v>
      </c>
      <c r="N36" s="287">
        <f>IF($C$25="Annual",'Segment Analysis'!N175,'Segment Analysis'!N195)</f>
        <v>0.05576739752144899</v>
      </c>
      <c r="O36" s="288">
        <f>'Segment Analysis'!O175</f>
        <v>0.036260791902351874</v>
      </c>
      <c r="P36" s="287">
        <f>IF($C$25="Annual",'Segment Analysis'!P175,'Segment Analysis'!P195)</f>
        <v>0.041048466864490596</v>
      </c>
      <c r="Q36" s="287">
        <f>IF($C$25="Annual",'Segment Analysis'!Q175,'Segment Analysis'!Q195)</f>
        <v>0.1721944570649705</v>
      </c>
      <c r="R36" s="287">
        <f>IF($C$25="Annual",'Segment Analysis'!R175,'Segment Analysis'!R195)</f>
        <v>0.13957597173144864</v>
      </c>
      <c r="S36" s="287">
        <f>IF($C$25="Annual",'Segment Analysis'!S175,'Segment Analysis'!S195)</f>
        <v>0.05417607223476306</v>
      </c>
      <c r="T36" s="288">
        <f>'Segment Analysis'!T175</f>
        <v>0.1031946678924387</v>
      </c>
      <c r="U36" s="289">
        <f>IFERROR(U35/S35-1,"--")</f>
        <v>-0.05973661670235553</v>
      </c>
      <c r="V36" s="289">
        <f>IFERROR(V35/U35-1,"--")</f>
        <v>0.18334878149318046</v>
      </c>
      <c r="W36" s="289">
        <f>IFERROR(W35/V35-1,"--")</f>
        <v>0.0019860973187684205</v>
      </c>
      <c r="X36" s="289">
        <f>IFERROR(X35/W35-1,"--")</f>
        <v>-0.0608765298361259</v>
      </c>
      <c r="Y36" s="290">
        <f>IFERROR(Y35/T35-1,"--")</f>
        <v>0.025160416666666574</v>
      </c>
      <c r="Z36" s="289">
        <f>IFERROR(Z35/X35-1,"--")</f>
        <v>-0.05973661670235553</v>
      </c>
      <c r="AA36" s="289">
        <f>IFERROR(AA35/Z35-1,"--")</f>
        <v>0.18899992180594638</v>
      </c>
      <c r="AB36" s="289">
        <f>IFERROR(AB35/AA35-1,"--")</f>
        <v>-0.0018237357508845697</v>
      </c>
      <c r="AC36" s="289">
        <f>IFERROR(AC35/AB35-1,"--")</f>
        <v>-0.06356486038048825</v>
      </c>
      <c r="AD36" s="290">
        <f>IFERROR(AD35/Y35-1,"--")</f>
        <v>0.04808763770710667</v>
      </c>
      <c r="AE36" s="290">
        <f>IFERROR(AE35/AD35-1,"--")</f>
        <v>0.05699999999999994</v>
      </c>
      <c r="AF36" s="290">
        <f>IFERROR(AF35/AE35-1,"--")</f>
        <v>0.05600000000000005</v>
      </c>
      <c r="AG36" s="290">
        <f>IFERROR(AG35/AF35-1,"--")</f>
        <v>0.05400000000000005</v>
      </c>
      <c r="AH36" s="284"/>
      <c r="AI36" s="291"/>
      <c r="AJ36" s="292"/>
    </row>
    <row r="37" ht="12.75" customHeight="1" spans="1:36" x14ac:dyDescent="0.25" outlineLevel="1" collapsed="1">
      <c r="A37" s="283"/>
      <c r="B37" s="284"/>
      <c r="C37" s="111" t="s">
        <v>246</v>
      </c>
      <c r="D37" s="284"/>
      <c r="E37" s="284"/>
      <c r="F37" s="287">
        <f>'Segment Analysis'!F18</f>
        <v>0.10963111892993772</v>
      </c>
      <c r="G37" s="287">
        <f>'Segment Analysis'!G18</f>
        <v>0.11567674924179391</v>
      </c>
      <c r="H37" s="287">
        <f>'Segment Analysis'!H18</f>
        <v>0.11403852688256358</v>
      </c>
      <c r="I37" s="287">
        <f>'Segment Analysis'!I18</f>
        <v>0.10951038730556427</v>
      </c>
      <c r="J37" s="288">
        <f>'Segment Analysis'!J18</f>
        <v>0.11223228306993216</v>
      </c>
      <c r="K37" s="287">
        <f>'Segment Analysis'!K18</f>
        <v>0.10472071885439052</v>
      </c>
      <c r="L37" s="287">
        <f>'Segment Analysis'!L18</f>
        <v>0.10874505928853756</v>
      </c>
      <c r="M37" s="287">
        <f>'Segment Analysis'!M18</f>
        <v>0.111083852607821</v>
      </c>
      <c r="N37" s="287">
        <f>'Segment Analysis'!N18</f>
        <v>0.10949085516559565</v>
      </c>
      <c r="O37" s="288">
        <f>'Segment Analysis'!O18</f>
        <v>0.108558561368272</v>
      </c>
      <c r="P37" s="287">
        <f>'Segment Analysis'!P18</f>
        <v>0.1050137191319531</v>
      </c>
      <c r="Q37" s="287">
        <f>'Segment Analysis'!Q18</f>
        <v>0.1218417945690673</v>
      </c>
      <c r="R37" s="287">
        <f>'Segment Analysis'!R18</f>
        <v>0.1225071225071225</v>
      </c>
      <c r="S37" s="287">
        <f>'Segment Analysis'!S18</f>
        <v>0.11291102514506769</v>
      </c>
      <c r="T37" s="288">
        <f>'Segment Analysis'!T18</f>
        <v>0.11571841851494696</v>
      </c>
      <c r="U37" s="289">
        <f>U35/U$30</f>
        <v>0.10574091461533662</v>
      </c>
      <c r="V37" s="289">
        <f>V35/V$30</f>
        <v>0.11864680010393913</v>
      </c>
      <c r="W37" s="289">
        <f>W35/W$30</f>
        <v>0.11946346484523605</v>
      </c>
      <c r="X37" s="289">
        <f t="shared" ref="X37:AG37" si="1">X35/X$30</f>
        <v>0.11343182129260805</v>
      </c>
      <c r="Y37" s="290">
        <f t="shared" si="1"/>
        <v>0.11443110276241011</v>
      </c>
      <c r="Z37" s="289">
        <f t="shared" si="1"/>
        <v>0.10547743934767015</v>
      </c>
      <c r="AA37" s="289">
        <f t="shared" si="1"/>
        <v>0.11900510817996303</v>
      </c>
      <c r="AB37" s="289">
        <f t="shared" si="1"/>
        <v>0.11929128979411348</v>
      </c>
      <c r="AC37" s="289">
        <f t="shared" si="1"/>
        <v>0.11297545635670288</v>
      </c>
      <c r="AD37" s="290">
        <f t="shared" si="1"/>
        <v>0.11429984149307056</v>
      </c>
      <c r="AE37" s="290">
        <f t="shared" si="1"/>
        <v>0.11524029517018622</v>
      </c>
      <c r="AF37" s="290">
        <f t="shared" si="1"/>
        <v>0.11581197892081757</v>
      </c>
      <c r="AG37" s="290">
        <f t="shared" si="1"/>
        <v>0.1164639875032466</v>
      </c>
      <c r="AH37" s="284"/>
      <c r="AI37" s="291"/>
      <c r="AJ37" s="292"/>
    </row>
    <row r="38" ht="12.75" customHeight="1" spans="1:36" x14ac:dyDescent="0.25" outlineLevel="1" collapsed="1">
      <c r="A38" s="8"/>
      <c r="B38" s="8"/>
      <c r="C38" s="8" t="str">
        <f>'Segment Analysis'!C11</f>
        <v>Environmental solutions Revenue</v>
      </c>
      <c r="D38" s="8"/>
      <c r="E38" s="8"/>
      <c r="F38" s="277">
        <f>'Segment Analysis'!F11</f>
        <v>408.3</v>
      </c>
      <c r="G38" s="277">
        <f>'Segment Analysis'!G11</f>
        <v>398.3</v>
      </c>
      <c r="H38" s="277">
        <f>'Segment Analysis'!H11</f>
        <v>404.8</v>
      </c>
      <c r="I38" s="277">
        <f>'Segment Analysis'!I11</f>
        <v>413.4</v>
      </c>
      <c r="J38" s="278">
        <f>'Segment Analysis'!J11</f>
        <v>1624.8000000000002</v>
      </c>
      <c r="K38" s="277">
        <f>'Segment Analysis'!K11</f>
        <v>423.3</v>
      </c>
      <c r="L38" s="277">
        <f>'Segment Analysis'!L11</f>
        <v>472.6</v>
      </c>
      <c r="M38" s="277">
        <f>'Segment Analysis'!M11</f>
        <v>464.7</v>
      </c>
      <c r="N38" s="277">
        <f>'Segment Analysis'!N11</f>
        <v>482</v>
      </c>
      <c r="O38" s="278">
        <f>'Segment Analysis'!O11</f>
        <v>1842.6000000000001</v>
      </c>
      <c r="P38" s="277">
        <f>'Segment Analysis'!P11</f>
        <v>449</v>
      </c>
      <c r="Q38" s="277">
        <f>'Segment Analysis'!Q11</f>
        <v>462</v>
      </c>
      <c r="R38" s="277">
        <f>'Segment Analysis'!R11</f>
        <v>433</v>
      </c>
      <c r="S38" s="277">
        <f>'Segment Analysis'!S11</f>
        <v>422</v>
      </c>
      <c r="T38" s="278">
        <f>'Segment Analysis'!T11</f>
        <v>1766</v>
      </c>
      <c r="U38" s="279">
        <f>IF(Segment3_Rev_Methodology="Segment",U65,IF(Segment3_Rev_Methodology="Activity-Based",U115,IF(Segment3_Rev_Methodology="Backlog",U189,"--")))</f>
        <v>463.368</v>
      </c>
      <c r="V38" s="279">
        <f>IF(Segment3_Rev_Methodology="Segment",V65,IF(Segment3_Rev_Methodology="Activity-Based",V115,IF(Segment3_Rev_Methodology="Backlog",V189,"--")))</f>
        <v>478.16999999999996</v>
      </c>
      <c r="W38" s="279">
        <f>IF(Segment3_Rev_Methodology="Segment",W65,IF(Segment3_Rev_Methodology="Activity-Based",W115,IF(Segment3_Rev_Methodology="Backlog",W189,"--")))</f>
        <v>449.02099999999996</v>
      </c>
      <c r="X38" s="279">
        <f>IF(Segment3_Rev_Methodology="Segment",X65,IF(Segment3_Rev_Methodology="Activity-Based",X115,IF(Segment3_Rev_Methodology="Backlog",X189,"--")))</f>
        <v>442.25600000000003</v>
      </c>
      <c r="Y38" s="280">
        <f>SUM(U38:X38)</f>
        <v>1832.815</v>
      </c>
      <c r="Z38" s="279">
        <f>IF(Segment3_Rev_Methodology="Segment",Z65,IF(Segment3_Rev_Methodology="Activity-Based",Z115,IF(Segment3_Rev_Methodology="Backlog",Z189,"--")))</f>
        <v>489.31660800000003</v>
      </c>
      <c r="AA38" s="279">
        <f>IF(Segment3_Rev_Methodology="Segment",AA65,IF(Segment3_Rev_Methodology="Activity-Based",AA115,IF(Segment3_Rev_Methodology="Backlog",AA189,"--")))</f>
        <v>502.55666999999994</v>
      </c>
      <c r="AB38" s="279">
        <f>IF(Segment3_Rev_Methodology="Segment",AB65,IF(Segment3_Rev_Methodology="Activity-Based",AB115,IF(Segment3_Rev_Methodology="Backlog",AB189,"--")))</f>
        <v>471.02302899999995</v>
      </c>
      <c r="AC38" s="279">
        <f>IF(Segment3_Rev_Methodology="Segment",AC65,IF(Segment3_Rev_Methodology="Activity-Based",AC115,IF(Segment3_Rev_Methodology="Backlog",AC189,"--")))</f>
        <v>463.926544</v>
      </c>
      <c r="AD38" s="280">
        <f>SUM(Z38:AC38)</f>
        <v>1926.822851</v>
      </c>
      <c r="AE38" s="280">
        <f>IF(Segment3_Rev_Methodology="Segment",AE65,IF(Segment3_Rev_Methodology="Activity-Based",AE115,IF(Segment3_Rev_Methodology="Backlog",AE189,"--")))</f>
        <v>2025.0908164009998</v>
      </c>
      <c r="AF38" s="280">
        <f>IF(Segment3_Rev_Methodology="Segment",AF65,IF(Segment3_Rev_Methodology="Activity-Based",AF115,IF(Segment3_Rev_Methodology="Backlog",AF189,"--")))</f>
        <v>2138.495902119456</v>
      </c>
      <c r="AG38" s="280">
        <f>IF(Segment3_Rev_Methodology="Segment",AG65,IF(Segment3_Rev_Methodology="Activity-Based",AG115,IF(Segment3_Rev_Methodology="Backlog",AG189,"--")))</f>
        <v>2288.190615267818</v>
      </c>
      <c r="AH38" s="8"/>
      <c r="AI38" s="281">
        <f>IFERROR((T38/J38)^(1/3)-1,"--")</f>
        <v>0.028166847589534694</v>
      </c>
      <c r="AJ38" s="282">
        <f>IFERROR((AG38/T38)^(1/5)-1,"--")</f>
        <v>0.05317441503572118</v>
      </c>
    </row>
    <row r="39" ht="12.75" customHeight="1" spans="1:36" x14ac:dyDescent="0.25" outlineLevel="1" collapsed="1">
      <c r="A39" s="283"/>
      <c r="B39" s="284"/>
      <c r="C39" s="111" t="s">
        <v>247</v>
      </c>
      <c r="D39" s="284"/>
      <c r="E39" s="284"/>
      <c r="F39" s="286"/>
      <c r="G39" s="287" t="str">
        <f>IF($C$25="Annual",'Segment Analysis'!G176,'Segment Analysis'!G196)</f>
        <v>N/A</v>
      </c>
      <c r="H39" s="287" t="str">
        <f>IF($C$25="Annual",'Segment Analysis'!H176,'Segment Analysis'!H196)</f>
        <v>N/A</v>
      </c>
      <c r="I39" s="287" t="str">
        <f>IF($C$25="Annual",'Segment Analysis'!I176,'Segment Analysis'!I196)</f>
        <v>N/A</v>
      </c>
      <c r="J39" s="288"/>
      <c r="K39" s="287">
        <f>IF($C$25="Annual",'Segment Analysis'!K176,'Segment Analysis'!K196)</f>
        <v>0.03673769287288753</v>
      </c>
      <c r="L39" s="287">
        <f>IF($C$25="Annual",'Segment Analysis'!L176,'Segment Analysis'!L196)</f>
        <v>0.18654280692945013</v>
      </c>
      <c r="M39" s="287">
        <f>IF($C$25="Annual",'Segment Analysis'!M176,'Segment Analysis'!M196)</f>
        <v>0.14797430830039526</v>
      </c>
      <c r="N39" s="287">
        <f>IF($C$25="Annual",'Segment Analysis'!N176,'Segment Analysis'!N196)</f>
        <v>0.16594097726173196</v>
      </c>
      <c r="O39" s="288">
        <f>IF($C$25="Annual",'Segment Analysis'!O176,'Segment Analysis'!O196)</f>
        <v>0.13404726735598227</v>
      </c>
      <c r="P39" s="287">
        <f>IF($C$25="Annual",'Segment Analysis'!P176,'Segment Analysis'!P196)</f>
        <v>0.060713442003307305</v>
      </c>
      <c r="Q39" s="287">
        <f>IF($C$25="Annual",'Segment Analysis'!Q176,'Segment Analysis'!Q196)</f>
        <v>-0.022429115531104604</v>
      </c>
      <c r="R39" s="287">
        <f>IF($C$25="Annual",'Segment Analysis'!R176,'Segment Analysis'!R196)</f>
        <v>-0.06821605336776415</v>
      </c>
      <c r="S39" s="287">
        <f>IF($C$25="Annual",'Segment Analysis'!S176,'Segment Analysis'!S196)</f>
        <v>-0.12448132780082988</v>
      </c>
      <c r="T39" s="288">
        <f>IF($C$25="Annual",'Segment Analysis'!T176,'Segment Analysis'!T196)</f>
        <v>-0.04157169217410184</v>
      </c>
      <c r="U39" s="289">
        <f>IFERROR(U38/S38-1,"--")</f>
        <v>0.09802843601895739</v>
      </c>
      <c r="V39" s="289">
        <f>IFERROR(V38/U38-1,"--")</f>
        <v>0.03194437250738069</v>
      </c>
      <c r="W39" s="289">
        <f>IFERROR(W38/V38-1,"--")</f>
        <v>-0.060959491394274035</v>
      </c>
      <c r="X39" s="289">
        <f>IFERROR(X38/W38-1,"--")</f>
        <v>-0.015066110493718421</v>
      </c>
      <c r="Y39" s="290">
        <f>IFERROR(Y38/T38-1,"--")</f>
        <v>0.03783408833522084</v>
      </c>
      <c r="Z39" s="289">
        <f>IFERROR(Z38/X38-1,"--")</f>
        <v>0.10641033247711729</v>
      </c>
      <c r="AA39" s="289">
        <f>IFERROR(AA38/Z38-1,"--")</f>
        <v>0.027058272258766003</v>
      </c>
      <c r="AB39" s="289">
        <f>IFERROR(AB38/AA38-1,"--")</f>
        <v>-0.06274643812806224</v>
      </c>
      <c r="AC39" s="289">
        <f>IFERROR(AC38/AB38-1,"--")</f>
        <v>-0.015066110493718532</v>
      </c>
      <c r="AD39" s="290">
        <f>IFERROR(AD38/Y38-1,"--")</f>
        <v>0.05129151114542374</v>
      </c>
      <c r="AE39" s="290">
        <f>IFERROR(AE38/AD38-1,"--")</f>
        <v>0.050999999999999934</v>
      </c>
      <c r="AF39" s="290">
        <f>IFERROR(AF38/AE38-1,"--")</f>
        <v>0.05600000000000005</v>
      </c>
      <c r="AG39" s="290">
        <f>IFERROR(AG38/AF38-1,"--")</f>
        <v>0.07000000000000006</v>
      </c>
      <c r="AH39" s="284"/>
      <c r="AI39" s="291"/>
      <c r="AJ39" s="292"/>
    </row>
    <row r="40" ht="12.75" customHeight="1" spans="1:36" x14ac:dyDescent="0.25" outlineLevel="1" collapsed="1">
      <c r="A40" s="283"/>
      <c r="B40" s="284"/>
      <c r="C40" s="111" t="s">
        <v>246</v>
      </c>
      <c r="D40" s="284"/>
      <c r="E40" s="284"/>
      <c r="F40" s="287">
        <f>'Segment Analysis'!F19</f>
        <v>0.11401524671190416</v>
      </c>
      <c r="G40" s="287">
        <f>'Segment Analysis'!G19</f>
        <v>0.10690034622507312</v>
      </c>
      <c r="H40" s="287">
        <f>'Segment Analysis'!H19</f>
        <v>0.10580517002535351</v>
      </c>
      <c r="I40" s="287">
        <f>'Segment Analysis'!I19</f>
        <v>0.10789226432821797</v>
      </c>
      <c r="J40" s="288">
        <f>'Segment Analysis'!J19</f>
        <v>0.10857696548498112</v>
      </c>
      <c r="K40" s="287">
        <f>'Segment Analysis'!K19</f>
        <v>0.1096149364269622</v>
      </c>
      <c r="L40" s="287">
        <f>'Segment Analysis'!L19</f>
        <v>0.11674901185770753</v>
      </c>
      <c r="M40" s="287">
        <f>'Segment Analysis'!M19</f>
        <v>0.11400323831019085</v>
      </c>
      <c r="N40" s="287">
        <f>'Segment Analysis'!N19</f>
        <v>0.11913000494315373</v>
      </c>
      <c r="O40" s="288">
        <f>'Segment Analysis'!O19</f>
        <v>0.11493335163018731</v>
      </c>
      <c r="P40" s="287">
        <f>'Segment Analysis'!P19</f>
        <v>0.11199800448989773</v>
      </c>
      <c r="Q40" s="287">
        <f>'Segment Analysis'!Q19</f>
        <v>0.10909090909090909</v>
      </c>
      <c r="R40" s="287">
        <f>'Segment Analysis'!R19</f>
        <v>0.10280151946818614</v>
      </c>
      <c r="S40" s="287">
        <f>'Segment Analysis'!S19</f>
        <v>0.10203094777562863</v>
      </c>
      <c r="T40" s="288">
        <f>'Segment Analysis'!T19</f>
        <v>0.10643683702989393</v>
      </c>
      <c r="U40" s="289">
        <f>U38/U$30</f>
        <v>0.111584198066238</v>
      </c>
      <c r="V40" s="289">
        <f>V38/V$30</f>
        <v>0.10918404579898189</v>
      </c>
      <c r="W40" s="289">
        <f>W38/W$30</f>
        <v>0.1030293337640936</v>
      </c>
      <c r="X40" s="289">
        <f t="shared" ref="X40:AG40" si="2">X38/X$30</f>
        <v>0.10259946038867791</v>
      </c>
      <c r="Y40" s="290">
        <f t="shared" si="2"/>
        <v>0.10655397509408421</v>
      </c>
      <c r="Z40" s="289">
        <f t="shared" si="2"/>
        <v>0.11226294955624293</v>
      </c>
      <c r="AA40" s="289">
        <f t="shared" si="2"/>
        <v>0.10940967622827606</v>
      </c>
      <c r="AB40" s="289">
        <f t="shared" si="2"/>
        <v>0.10297901291943014</v>
      </c>
      <c r="AC40" s="289">
        <f t="shared" si="2"/>
        <v>0.10257782195753316</v>
      </c>
      <c r="AD40" s="290">
        <f t="shared" si="2"/>
        <v>0.10675709810472465</v>
      </c>
      <c r="AE40" s="290">
        <f t="shared" si="2"/>
        <v>0.10702450374608605</v>
      </c>
      <c r="AF40" s="290">
        <f t="shared" si="2"/>
        <v>0.10755543062041126</v>
      </c>
      <c r="AG40" s="290">
        <f t="shared" si="2"/>
        <v>0.10980286779444035</v>
      </c>
      <c r="AH40" s="284"/>
      <c r="AI40" s="291"/>
      <c r="AJ40" s="292"/>
    </row>
    <row r="41" ht="12.75" customHeight="1" spans="1:36" x14ac:dyDescent="0.25" outlineLevel="1" collapsed="1">
      <c r="A41" s="8"/>
      <c r="B41" s="8"/>
      <c r="C41" s="8" t="str">
        <f>'Segment Analysis'!C12</f>
        <v>Transfer Revenue</v>
      </c>
      <c r="D41" s="8"/>
      <c r="E41" s="8"/>
      <c r="F41" s="277">
        <f>'Segment Analysis'!F12</f>
        <v>173.3</v>
      </c>
      <c r="G41" s="277">
        <f>'Segment Analysis'!G12</f>
        <v>197.3</v>
      </c>
      <c r="H41" s="277">
        <f>'Segment Analysis'!H12</f>
        <v>206.2</v>
      </c>
      <c r="I41" s="277">
        <f>'Segment Analysis'!I12</f>
        <v>188.2</v>
      </c>
      <c r="J41" s="278">
        <f>'Segment Analysis'!J12</f>
        <v>765</v>
      </c>
      <c r="K41" s="277">
        <f>'Segment Analysis'!K12</f>
        <v>182.8</v>
      </c>
      <c r="L41" s="277">
        <f>'Segment Analysis'!L12</f>
        <v>208.2</v>
      </c>
      <c r="M41" s="277">
        <f>'Segment Analysis'!M12</f>
        <v>211.6</v>
      </c>
      <c r="N41" s="277">
        <f>'Segment Analysis'!N12</f>
        <v>203</v>
      </c>
      <c r="O41" s="278">
        <f>'Segment Analysis'!O12</f>
        <v>805.6</v>
      </c>
      <c r="P41" s="277">
        <f>'Segment Analysis'!P12</f>
        <v>188</v>
      </c>
      <c r="Q41" s="277">
        <f>'Segment Analysis'!Q12</f>
        <v>221</v>
      </c>
      <c r="R41" s="277">
        <f>'Segment Analysis'!R12</f>
        <v>224</v>
      </c>
      <c r="S41" s="277">
        <f>'Segment Analysis'!S12</f>
        <v>214</v>
      </c>
      <c r="T41" s="278">
        <f>'Segment Analysis'!T12</f>
        <v>847</v>
      </c>
      <c r="U41" s="279">
        <f>IF(Segment4_Rev_Methodology="Segment",U71,IF(Segment4_Rev_Methodology="Activity-Based",U127,IF(Segment4_Rev_Methodology="Backlog",U201,"--")))</f>
        <v>196.45999999999998</v>
      </c>
      <c r="V41" s="279">
        <f>IF(Segment4_Rev_Methodology="Segment",V71,IF(Segment4_Rev_Methodology="Activity-Based",V127,IF(Segment4_Rev_Methodology="Backlog",V201,"--")))</f>
        <v>230.72400000000002</v>
      </c>
      <c r="W41" s="279">
        <f>IF(Segment4_Rev_Methodology="Segment",W71,IF(Segment4_Rev_Methodology="Activity-Based",W127,IF(Segment4_Rev_Methodology="Backlog",W201,"--")))</f>
        <v>233.856</v>
      </c>
      <c r="X41" s="279">
        <f>IF(Segment4_Rev_Methodology="Segment",X71,IF(Segment4_Rev_Methodology="Activity-Based",X127,IF(Segment4_Rev_Methodology="Backlog",X201,"--")))</f>
        <v>224.486</v>
      </c>
      <c r="Y41" s="280">
        <f>SUM(U41:X41)</f>
        <v>885.526</v>
      </c>
      <c r="Z41" s="279">
        <f>IF(Segment4_Rev_Methodology="Segment",Z71,IF(Segment4_Rev_Methodology="Activity-Based",Z127,IF(Segment4_Rev_Methodology="Backlog",Z201,"--")))</f>
        <v>207.46176</v>
      </c>
      <c r="AA41" s="279">
        <f>IF(Segment4_Rev_Methodology="Segment",AA71,IF(Segment4_Rev_Methodology="Activity-Based",AA127,IF(Segment4_Rev_Methodology="Backlog",AA201,"--")))</f>
        <v>242.72164800000002</v>
      </c>
      <c r="AB41" s="279">
        <f>IF(Segment4_Rev_Methodology="Segment",AB71,IF(Segment4_Rev_Methodology="Activity-Based",AB127,IF(Segment4_Rev_Methodology="Backlog",AB201,"--")))</f>
        <v>245.31494399999997</v>
      </c>
      <c r="AC41" s="279">
        <f>IF(Segment4_Rev_Methodology="Segment",AC71,IF(Segment4_Rev_Methodology="Activity-Based",AC127,IF(Segment4_Rev_Methodology="Backlog",AC201,"--")))</f>
        <v>235.48581399999998</v>
      </c>
      <c r="AD41" s="280">
        <f>SUM(Z41:AC41)</f>
        <v>930.984166</v>
      </c>
      <c r="AE41" s="280">
        <f>IF(Segment4_Rev_Methodology="Segment",AE71,IF(Segment4_Rev_Methodology="Activity-Based",AE127,IF(Segment4_Rev_Methodology="Backlog",AE201,"--")))</f>
        <v>971.947469304</v>
      </c>
      <c r="AF41" s="280">
        <f>IF(Segment4_Rev_Methodology="Segment",AF71,IF(Segment4_Rev_Methodology="Activity-Based",AF127,IF(Segment4_Rev_Methodology="Backlog",AF201,"--")))</f>
        <v>1021.516790238504</v>
      </c>
      <c r="AG41" s="280">
        <f>IF(Segment4_Rev_Methodology="Segment",AG71,IF(Segment4_Rev_Methodology="Activity-Based",AG127,IF(Segment4_Rev_Methodology="Backlog",AG201,"--")))</f>
        <v>1050.119260365182</v>
      </c>
      <c r="AH41" s="8"/>
      <c r="AI41" s="281">
        <f>IFERROR((T41/J41)^(1/3)-1,"--")</f>
        <v>0.03452420972646397</v>
      </c>
      <c r="AJ41" s="282">
        <f>IFERROR((AG41/T41)^(1/5)-1,"--")</f>
        <v>0.043929193319987236</v>
      </c>
    </row>
    <row r="42" ht="12.75" customHeight="1" spans="1:36" x14ac:dyDescent="0.25" outlineLevel="1" collapsed="1">
      <c r="A42" s="283"/>
      <c r="B42" s="284"/>
      <c r="C42" s="111" t="s">
        <v>247</v>
      </c>
      <c r="D42" s="284"/>
      <c r="E42" s="284"/>
      <c r="F42" s="286"/>
      <c r="G42" s="287" t="str">
        <f>IF($C$25="Annual",'Segment Analysis'!G177,'Segment Analysis'!G197)</f>
        <v>N/A</v>
      </c>
      <c r="H42" s="287" t="str">
        <f>IF($C$25="Annual",'Segment Analysis'!H177,'Segment Analysis'!H197)</f>
        <v>N/A</v>
      </c>
      <c r="I42" s="287" t="str">
        <f>IF($C$25="Annual",'Segment Analysis'!I177,'Segment Analysis'!I197)</f>
        <v>N/A</v>
      </c>
      <c r="J42" s="288"/>
      <c r="K42" s="287">
        <f>IF($C$25="Annual",'Segment Analysis'!K177,'Segment Analysis'!K197)</f>
        <v>0.05481823427582233</v>
      </c>
      <c r="L42" s="287">
        <f>IF($C$25="Annual",'Segment Analysis'!L177,'Segment Analysis'!L197)</f>
        <v>0.05524581855043076</v>
      </c>
      <c r="M42" s="287">
        <f>IF($C$25="Annual",'Segment Analysis'!M177,'Segment Analysis'!M197)</f>
        <v>0.026188166828322146</v>
      </c>
      <c r="N42" s="287">
        <f>IF($C$25="Annual",'Segment Analysis'!N177,'Segment Analysis'!N197)</f>
        <v>0.07863974495217851</v>
      </c>
      <c r="O42" s="288">
        <f>IF($C$25="Annual",'Segment Analysis'!O177,'Segment Analysis'!O197)</f>
        <v>0.05307189542483659</v>
      </c>
      <c r="P42" s="287">
        <f>IF($C$25="Annual",'Segment Analysis'!P177,'Segment Analysis'!P197)</f>
        <v>0.02844638949671774</v>
      </c>
      <c r="Q42" s="287">
        <f>IF($C$25="Annual",'Segment Analysis'!Q177,'Segment Analysis'!Q197)</f>
        <v>0.06147934678194056</v>
      </c>
      <c r="R42" s="287">
        <f>IF($C$25="Annual",'Segment Analysis'!R177,'Segment Analysis'!R197)</f>
        <v>0.05860113421550106</v>
      </c>
      <c r="S42" s="287">
        <f>IF($C$25="Annual",'Segment Analysis'!S177,'Segment Analysis'!S197)</f>
        <v>0.054187192118226646</v>
      </c>
      <c r="T42" s="288">
        <f>IF($C$25="Annual",'Segment Analysis'!T177,'Segment Analysis'!T197)</f>
        <v>0.05139026812313796</v>
      </c>
      <c r="U42" s="289">
        <f>IFERROR(U41/S41-1,"--")</f>
        <v>-0.08196261682243</v>
      </c>
      <c r="V42" s="289">
        <f>IFERROR(V41/U41-1,"--")</f>
        <v>0.1744070039702741</v>
      </c>
      <c r="W42" s="289">
        <f>IFERROR(W41/V41-1,"--")</f>
        <v>0.013574660633484115</v>
      </c>
      <c r="X42" s="289">
        <f>IFERROR(X41/W41-1,"--")</f>
        <v>-0.04006739189928843</v>
      </c>
      <c r="Y42" s="290">
        <f>IFERROR(Y41/T41-1,"--")</f>
        <v>0.04548524203069659</v>
      </c>
      <c r="Z42" s="289">
        <f>IFERROR(Z41/X41-1,"--")</f>
        <v>-0.07583653323592554</v>
      </c>
      <c r="AA42" s="289">
        <f>IFERROR(AA41/Z41-1,"--")</f>
        <v>0.16995849259159868</v>
      </c>
      <c r="AB42" s="289">
        <f>IFERROR(AB41/AA41-1,"--")</f>
        <v>0.010684238597456819</v>
      </c>
      <c r="AC42" s="289">
        <f>IFERROR(AC41/AB41-1,"--")</f>
        <v>-0.04006739189928843</v>
      </c>
      <c r="AD42" s="290">
        <f>IFERROR(AD41/Y41-1,"--")</f>
        <v>0.05133464855916148</v>
      </c>
      <c r="AE42" s="290">
        <f>IFERROR(AE41/AD41-1,"--")</f>
        <v>0.04400000000000004</v>
      </c>
      <c r="AF42" s="290">
        <f>IFERROR(AF41/AE41-1,"--")</f>
        <v>0.050999999999999934</v>
      </c>
      <c r="AG42" s="290">
        <f>IFERROR(AG41/AF41-1,"--")</f>
        <v>0.028000000000000025</v>
      </c>
      <c r="AH42" s="284"/>
      <c r="AI42" s="291"/>
      <c r="AJ42" s="292"/>
    </row>
    <row r="43" ht="12.75" customHeight="1" spans="1:36" x14ac:dyDescent="0.25" outlineLevel="1" collapsed="1">
      <c r="A43" s="283"/>
      <c r="B43" s="284"/>
      <c r="C43" s="111" t="s">
        <v>246</v>
      </c>
      <c r="D43" s="284"/>
      <c r="E43" s="284"/>
      <c r="F43" s="287">
        <f>'Segment Analysis'!F20</f>
        <v>0.04839295188629192</v>
      </c>
      <c r="G43" s="287">
        <f>'Segment Analysis'!G20</f>
        <v>0.052953648782844406</v>
      </c>
      <c r="H43" s="287">
        <f>'Segment Analysis'!H20</f>
        <v>0.05389581536370527</v>
      </c>
      <c r="I43" s="287">
        <f>'Segment Analysis'!I20</f>
        <v>0.049117861989769286</v>
      </c>
      <c r="J43" s="288">
        <f>'Segment Analysis'!J20</f>
        <v>0.05112098633432456</v>
      </c>
      <c r="K43" s="287">
        <f>'Segment Analysis'!K20</f>
        <v>0.04733666519926456</v>
      </c>
      <c r="L43" s="287">
        <f>'Segment Analysis'!L20</f>
        <v>0.05143280632411067</v>
      </c>
      <c r="M43" s="287">
        <f>'Segment Analysis'!M20</f>
        <v>0.051911093665669</v>
      </c>
      <c r="N43" s="287">
        <f>'Segment Analysis'!N20</f>
        <v>0.050173010380622836</v>
      </c>
      <c r="O43" s="288">
        <f>'Segment Analysis'!O20</f>
        <v>0.05024981443247525</v>
      </c>
      <c r="P43" s="287">
        <f>'Segment Analysis'!P20</f>
        <v>0.046894487403342476</v>
      </c>
      <c r="Q43" s="287">
        <f>'Segment Analysis'!Q20</f>
        <v>0.05218417945690673</v>
      </c>
      <c r="R43" s="287">
        <f>'Segment Analysis'!R20</f>
        <v>0.05318138651471985</v>
      </c>
      <c r="S43" s="287">
        <f>'Segment Analysis'!S20</f>
        <v>0.051740812379110254</v>
      </c>
      <c r="T43" s="288">
        <f>'Segment Analysis'!T20</f>
        <v>0.05104869816779171</v>
      </c>
      <c r="U43" s="289">
        <f>U41/U$30</f>
        <v>0.04730976578463147</v>
      </c>
      <c r="V43" s="289">
        <f>V41/V$30</f>
        <v>0.052682894750662526</v>
      </c>
      <c r="W43" s="289">
        <f>W41/W$30</f>
        <v>0.05365902235471364</v>
      </c>
      <c r="X43" s="289">
        <f t="shared" ref="X43:AG43" si="3">X41/X$30</f>
        <v>0.05207875634205697</v>
      </c>
      <c r="Y43" s="290">
        <f t="shared" si="3"/>
        <v>0.05148163636218822</v>
      </c>
      <c r="Z43" s="289">
        <f t="shared" si="3"/>
        <v>0.047597544650945865</v>
      </c>
      <c r="AA43" s="289">
        <f t="shared" si="3"/>
        <v>0.052841994757076044</v>
      </c>
      <c r="AB43" s="289">
        <f t="shared" si="3"/>
        <v>0.05363281460173634</v>
      </c>
      <c r="AC43" s="289">
        <f t="shared" si="3"/>
        <v>0.05206777282831389</v>
      </c>
      <c r="AD43" s="290">
        <f t="shared" si="3"/>
        <v>0.05158189186516309</v>
      </c>
      <c r="AE43" s="290">
        <f t="shared" si="3"/>
        <v>0.051366681793754566</v>
      </c>
      <c r="AF43" s="290">
        <f t="shared" si="3"/>
        <v>0.05137708150443083</v>
      </c>
      <c r="AG43" s="290">
        <f t="shared" si="3"/>
        <v>0.05039182730009481</v>
      </c>
      <c r="AH43" s="284"/>
      <c r="AI43" s="291"/>
      <c r="AJ43" s="292"/>
    </row>
    <row r="44" ht="12.75" customHeight="1" spans="1:36" x14ac:dyDescent="0.25" outlineLevel="1" collapsed="1">
      <c r="A44" s="8"/>
      <c r="B44" s="8"/>
      <c r="C44" s="8" t="str">
        <f>'Segment Analysis'!C13</f>
        <v>Other Revenue</v>
      </c>
      <c r="D44" s="8"/>
      <c r="E44" s="8"/>
      <c r="F44" s="277">
        <f>'Segment Analysis'!F13</f>
        <v>148.5</v>
      </c>
      <c r="G44" s="277">
        <f>'Segment Analysis'!G13</f>
        <v>156.3</v>
      </c>
      <c r="H44" s="277">
        <f>'Segment Analysis'!H13</f>
        <v>162.1</v>
      </c>
      <c r="I44" s="277">
        <f>'Segment Analysis'!I13</f>
        <v>175.4</v>
      </c>
      <c r="J44" s="278">
        <f>'Segment Analysis'!J13</f>
        <v>642.3</v>
      </c>
      <c r="K44" s="277">
        <f>'Segment Analysis'!K13</f>
        <v>188.4</v>
      </c>
      <c r="L44" s="277">
        <f>'Segment Analysis'!L13</f>
        <v>204.2</v>
      </c>
      <c r="M44" s="277">
        <f>'Segment Analysis'!M13</f>
        <v>205.3</v>
      </c>
      <c r="N44" s="277">
        <f>'Segment Analysis'!N13</f>
        <v>190</v>
      </c>
      <c r="O44" s="278">
        <f>'Segment Analysis'!O13</f>
        <v>787.9000000000001</v>
      </c>
      <c r="P44" s="277">
        <f>'Segment Analysis'!P13</f>
        <v>208</v>
      </c>
      <c r="Q44" s="277">
        <f>'Segment Analysis'!Q13</f>
        <v>214</v>
      </c>
      <c r="R44" s="277">
        <f>'Segment Analysis'!R13</f>
        <v>204</v>
      </c>
      <c r="S44" s="277">
        <f>'Segment Analysis'!S13</f>
        <v>200</v>
      </c>
      <c r="T44" s="278">
        <f>'Segment Analysis'!T13</f>
        <v>826</v>
      </c>
      <c r="U44" s="279">
        <f>IF(Segment5_Rev_Methodology="Segment",U77,IF(Segment5_Rev_Methodology="Activity-Based",U139,IF(Segment5_Rev_Methodology="Backlog",U213,"--")))</f>
        <v>211.95199999999997</v>
      </c>
      <c r="V44" s="279">
        <f>IF(Segment5_Rev_Methodology="Segment",V77,IF(Segment5_Rev_Methodology="Activity-Based",V139,IF(Segment5_Rev_Methodology="Backlog",V213,"--")))</f>
        <v>218.92199999999997</v>
      </c>
      <c r="W44" s="279">
        <f>IF(Segment5_Rev_Methodology="Segment",W77,IF(Segment5_Rev_Methodology="Activity-Based",W139,IF(Segment5_Rev_Methodology="Backlog",W213,"--")))</f>
        <v>209.1</v>
      </c>
      <c r="X44" s="279">
        <f>IF(Segment5_Rev_Methodology="Segment",X77,IF(Segment5_Rev_Methodology="Activity-Based",X139,IF(Segment5_Rev_Methodology="Backlog",X213,"--")))</f>
        <v>200</v>
      </c>
      <c r="Y44" s="280">
        <f>SUM(U44:X44)</f>
        <v>839.9739999999999</v>
      </c>
      <c r="Z44" s="279">
        <f>IF(Segment5_Rev_Methodology="Segment",Z77,IF(Segment5_Rev_Methodology="Activity-Based",Z139,IF(Segment5_Rev_Methodology="Backlog",Z213,"--")))</f>
        <v>218.31055999999998</v>
      </c>
      <c r="AA44" s="279">
        <f>IF(Segment5_Rev_Methodology="Segment",AA77,IF(Segment5_Rev_Methodology="Activity-Based",AA139,IF(Segment5_Rev_Methodology="Backlog",AA213,"--")))</f>
        <v>225.70858199999995</v>
      </c>
      <c r="AB44" s="279">
        <f>IF(Segment5_Rev_Methodology="Segment",AB77,IF(Segment5_Rev_Methodology="Activity-Based",AB139,IF(Segment5_Rev_Methodology="Backlog",AB213,"--")))</f>
        <v>216.2094</v>
      </c>
      <c r="AC44" s="279">
        <f>IF(Segment5_Rev_Methodology="Segment",AC77,IF(Segment5_Rev_Methodology="Activity-Based",AC139,IF(Segment5_Rev_Methodology="Backlog",AC213,"--")))</f>
        <v>206.8</v>
      </c>
      <c r="AD44" s="280">
        <f>SUM(Z44:AC44)</f>
        <v>867.028542</v>
      </c>
      <c r="AE44" s="280">
        <f>IF(Segment5_Rev_Methodology="Segment",AE77,IF(Segment5_Rev_Methodology="Activity-Based",AE139,IF(Segment5_Rev_Methodology="Backlog",AE213,"--")))</f>
        <v>894.773455344</v>
      </c>
      <c r="AF44" s="280">
        <f>IF(Segment5_Rev_Methodology="Segment",AF77,IF(Segment5_Rev_Methodology="Activity-Based",AF139,IF(Segment5_Rev_Methodology="Backlog",AF213,"--")))</f>
        <v>915.3532448169119</v>
      </c>
      <c r="AG44" s="280">
        <f>IF(Segment5_Rev_Methodology="Segment",AG77,IF(Segment5_Rev_Methodology="Activity-Based",AG139,IF(Segment5_Rev_Methodology="Backlog",AG213,"--")))</f>
        <v>974.8512057300111</v>
      </c>
      <c r="AH44" s="8"/>
      <c r="AI44" s="281">
        <f>IFERROR((T44/J44)^(1/3)-1,"--")</f>
        <v>0.08746187919488446</v>
      </c>
      <c r="AJ44" s="282">
        <f>IFERROR((AG44/T44)^(1/5)-1,"--")</f>
        <v>0.03369319483659039</v>
      </c>
    </row>
    <row r="45" ht="12.75" customHeight="1" spans="1:36" x14ac:dyDescent="0.25" outlineLevel="1" collapsed="1">
      <c r="A45" s="283"/>
      <c r="B45" s="284"/>
      <c r="C45" s="111" t="s">
        <v>247</v>
      </c>
      <c r="D45" s="284"/>
      <c r="E45" s="284"/>
      <c r="F45" s="286"/>
      <c r="G45" s="287" t="str">
        <f>IF($C$25="Annual",'Segment Analysis'!G178,'Segment Analysis'!G198)</f>
        <v>N/A</v>
      </c>
      <c r="H45" s="287" t="str">
        <f>IF($C$25="Annual",'Segment Analysis'!H178,'Segment Analysis'!H198)</f>
        <v>N/A</v>
      </c>
      <c r="I45" s="287" t="str">
        <f>IF($C$25="Annual",'Segment Analysis'!I178,'Segment Analysis'!I198)</f>
        <v>N/A</v>
      </c>
      <c r="J45" s="288"/>
      <c r="K45" s="287">
        <f>IF($C$25="Annual",'Segment Analysis'!K178,'Segment Analysis'!K198)</f>
        <v>0.26868686868686864</v>
      </c>
      <c r="L45" s="287">
        <f>IF($C$25="Annual",'Segment Analysis'!L178,'Segment Analysis'!L198)</f>
        <v>0.3064619321817017</v>
      </c>
      <c r="M45" s="287">
        <f>IF($C$25="Annual",'Segment Analysis'!M178,'Segment Analysis'!M198)</f>
        <v>0.26650215916101194</v>
      </c>
      <c r="N45" s="287">
        <f>IF($C$25="Annual",'Segment Analysis'!N178,'Segment Analysis'!N198)</f>
        <v>0.08323831242873436</v>
      </c>
      <c r="O45" s="288">
        <f>IF($C$25="Annual",'Segment Analysis'!O178,'Segment Analysis'!O198)</f>
        <v>0.2266853495251442</v>
      </c>
      <c r="P45" s="287">
        <f>IF($C$25="Annual",'Segment Analysis'!P178,'Segment Analysis'!P198)</f>
        <v>0.10403397027600847</v>
      </c>
      <c r="Q45" s="287">
        <f>IF($C$25="Annual",'Segment Analysis'!Q178,'Segment Analysis'!Q198)</f>
        <v>0.04799216454456423</v>
      </c>
      <c r="R45" s="287">
        <f>IF($C$25="Annual",'Segment Analysis'!R178,'Segment Analysis'!R198)</f>
        <v>-0.006332196785192479</v>
      </c>
      <c r="S45" s="287">
        <f>IF($C$25="Annual",'Segment Analysis'!S178,'Segment Analysis'!S198)</f>
        <v>0.05263157894736836</v>
      </c>
      <c r="T45" s="288">
        <f>IF($C$25="Annual",'Segment Analysis'!T178,'Segment Analysis'!T198)</f>
        <v>0.048356390404873606</v>
      </c>
      <c r="U45" s="289">
        <f>IFERROR(U44/S44-1,"--")</f>
        <v>0.05975999999999981</v>
      </c>
      <c r="V45" s="289">
        <f>IFERROR(V44/U44-1,"--")</f>
        <v>0.032884804106590115</v>
      </c>
      <c r="W45" s="289">
        <f>IFERROR(W44/V44-1,"--")</f>
        <v>-0.04486529448844778</v>
      </c>
      <c r="X45" s="289">
        <f>IFERROR(X44/W44-1,"--")</f>
        <v>-0.04351984696317546</v>
      </c>
      <c r="Y45" s="290">
        <f>IFERROR(Y44/T44-1,"--")</f>
        <v>0.016917675544794175</v>
      </c>
      <c r="Z45" s="289">
        <f>IFERROR(Z44/X44-1,"--")</f>
        <v>0.09155279999999988</v>
      </c>
      <c r="AA45" s="289">
        <f>IFERROR(AA44/Z44-1,"--")</f>
        <v>0.033887604887276046</v>
      </c>
      <c r="AB45" s="289">
        <f>IFERROR(AB44/AA44-1,"--")</f>
        <v>-0.042086047042730335</v>
      </c>
      <c r="AC45" s="289">
        <f>IFERROR(AC44/AB44-1,"--")</f>
        <v>-0.04351984696317546</v>
      </c>
      <c r="AD45" s="290">
        <f>IFERROR(AD44/Y44-1,"--")</f>
        <v>0.03220878503382263</v>
      </c>
      <c r="AE45" s="290">
        <f>IFERROR(AE44/AD44-1,"--")</f>
        <v>0.03200000000000003</v>
      </c>
      <c r="AF45" s="290">
        <f>IFERROR(AF44/AE44-1,"--")</f>
        <v>0.02299999999999991</v>
      </c>
      <c r="AG45" s="290">
        <f>IFERROR(AG44/AF44-1,"--")</f>
        <v>0.06499999999999995</v>
      </c>
      <c r="AH45" s="284"/>
      <c r="AI45" s="291"/>
      <c r="AJ45" s="292"/>
    </row>
    <row r="46" ht="12.75" customHeight="1" spans="1:36" x14ac:dyDescent="0.25" outlineLevel="1" collapsed="1">
      <c r="A46" s="283"/>
      <c r="B46" s="284"/>
      <c r="C46" s="111" t="s">
        <v>246</v>
      </c>
      <c r="D46" s="284"/>
      <c r="E46" s="284"/>
      <c r="F46" s="287">
        <f>'Segment Analysis'!F21</f>
        <v>0.04146770545363156</v>
      </c>
      <c r="G46" s="287">
        <f>'Segment Analysis'!G21</f>
        <v>0.041949596070748</v>
      </c>
      <c r="H46" s="287">
        <f>'Segment Analysis'!H21</f>
        <v>0.04236911576361117</v>
      </c>
      <c r="I46" s="287">
        <f>'Segment Analysis'!I21</f>
        <v>0.0457772210042802</v>
      </c>
      <c r="J46" s="288">
        <f>'Segment Analysis'!J21</f>
        <v>0.042921581075211324</v>
      </c>
      <c r="K46" s="287">
        <f>'Segment Analysis'!K21</f>
        <v>0.048786803739285796</v>
      </c>
      <c r="L46" s="287">
        <f>'Segment Analysis'!L21</f>
        <v>0.050444664031620554</v>
      </c>
      <c r="M46" s="287">
        <f>'Segment Analysis'!M21</f>
        <v>0.05036553652912026</v>
      </c>
      <c r="N46" s="287">
        <f>'Segment Analysis'!N21</f>
        <v>0.04695996045477014</v>
      </c>
      <c r="O46" s="288">
        <f>'Segment Analysis'!O21</f>
        <v>0.049145765629775635</v>
      </c>
      <c r="P46" s="287">
        <f>'Segment Analysis'!P21</f>
        <v>0.05188326265901721</v>
      </c>
      <c r="Q46" s="287">
        <f>'Segment Analysis'!Q21</f>
        <v>0.050531286894923255</v>
      </c>
      <c r="R46" s="287">
        <f>'Segment Analysis'!R21</f>
        <v>0.04843304843304843</v>
      </c>
      <c r="S46" s="287">
        <f>'Segment Analysis'!S21</f>
        <v>0.048355899419729204</v>
      </c>
      <c r="T46" s="288">
        <f>'Segment Analysis'!T21</f>
        <v>0.04978302796528448</v>
      </c>
      <c r="U46" s="289">
        <f>U44/U$30</f>
        <v>0.0510404126925797</v>
      </c>
      <c r="V46" s="289">
        <f>V44/V$30</f>
        <v>0.04998805795931303</v>
      </c>
      <c r="W46" s="289">
        <f>W44/W$30</f>
        <v>0.04797867736714312</v>
      </c>
      <c r="X46" s="289">
        <f t="shared" ref="X46:AG46" si="4">X44/X$30</f>
        <v>0.046398222020132183</v>
      </c>
      <c r="Y46" s="290">
        <f t="shared" si="4"/>
        <v>0.048833389445022156</v>
      </c>
      <c r="Z46" s="289">
        <f t="shared" si="4"/>
        <v>0.050086563554522026</v>
      </c>
      <c r="AA46" s="289">
        <f t="shared" si="4"/>
        <v>0.04913814571113601</v>
      </c>
      <c r="AB46" s="289">
        <f t="shared" si="4"/>
        <v>0.04726951597923302</v>
      </c>
      <c r="AC46" s="289">
        <f t="shared" si="4"/>
        <v>0.04572511285497356</v>
      </c>
      <c r="AD46" s="290">
        <f t="shared" si="4"/>
        <v>0.04803838145777231</v>
      </c>
      <c r="AE46" s="290">
        <f t="shared" si="4"/>
        <v>0.04728809406856733</v>
      </c>
      <c r="AF46" s="290">
        <f t="shared" si="4"/>
        <v>0.04603759694769536</v>
      </c>
      <c r="AG46" s="290">
        <f t="shared" si="4"/>
        <v>0.04677995676924611</v>
      </c>
      <c r="AH46" s="284"/>
      <c r="AI46" s="291"/>
      <c r="AJ46" s="292"/>
    </row>
    <row r="47" ht="12.75" customHeight="1" spans="1:36" x14ac:dyDescent="0.25" outlineLevel="1" collapsed="1">
      <c r="A47" s="8"/>
      <c r="B47" s="8"/>
      <c r="C47" s="8" t="str">
        <f>'Segment Analysis'!C14</f>
        <v>Professional Services and Other Revenue</v>
      </c>
      <c r="D47" s="8"/>
      <c r="E47" s="8"/>
      <c r="F47" s="277">
        <f>'Segment Analysis'!F14</f>
        <v>0</v>
      </c>
      <c r="G47" s="277">
        <f>'Segment Analysis'!G14</f>
        <v>0</v>
      </c>
      <c r="H47" s="277">
        <f>'Segment Analysis'!H14</f>
        <v>0</v>
      </c>
      <c r="I47" s="277">
        <f>'Segment Analysis'!I14</f>
        <v>0</v>
      </c>
      <c r="J47" s="278">
        <f>'Segment Analysis'!J14</f>
        <v>0</v>
      </c>
      <c r="K47" s="277">
        <f>'Segment Analysis'!K14</f>
        <v>0</v>
      </c>
      <c r="L47" s="277">
        <f>'Segment Analysis'!L14</f>
        <v>0</v>
      </c>
      <c r="M47" s="277">
        <f>'Segment Analysis'!M14</f>
        <v>0</v>
      </c>
      <c r="N47" s="277">
        <f>'Segment Analysis'!N14</f>
        <v>0</v>
      </c>
      <c r="O47" s="278">
        <f>'Segment Analysis'!O14</f>
        <v>0</v>
      </c>
      <c r="P47" s="277">
        <f>'Segment Analysis'!P14</f>
        <v>0</v>
      </c>
      <c r="Q47" s="277">
        <f>'Segment Analysis'!Q14</f>
        <v>0</v>
      </c>
      <c r="R47" s="277">
        <f>'Segment Analysis'!R14</f>
        <v>0</v>
      </c>
      <c r="S47" s="277">
        <f>'Segment Analysis'!S14</f>
        <v>0</v>
      </c>
      <c r="T47" s="278">
        <f>'Segment Analysis'!T14</f>
        <v>0</v>
      </c>
      <c r="U47" s="279">
        <f>IF(Segment6_Rev_Methodology="Segment",U83,IF(Segment6_Rev_Methodology="Activity-Based",U151,IF(Segment6_Rev_Methodology="Backlog",U225,"--")))</f>
        <v>0</v>
      </c>
      <c r="V47" s="279">
        <f>IF(Segment6_Rev_Methodology="Segment",V83,IF(Segment6_Rev_Methodology="Activity-Based",V151,IF(Segment6_Rev_Methodology="Backlog",V225,"--")))</f>
        <v>0</v>
      </c>
      <c r="W47" s="279">
        <f>IF(Segment6_Rev_Methodology="Segment",W83,IF(Segment6_Rev_Methodology="Activity-Based",W151,IF(Segment6_Rev_Methodology="Backlog",W225,"--")))</f>
        <v>0</v>
      </c>
      <c r="X47" s="279">
        <f>IF(Segment6_Rev_Methodology="Segment",X83,IF(Segment6_Rev_Methodology="Activity-Based",X151,IF(Segment6_Rev_Methodology="Backlog",X225,"--")))</f>
        <v>0</v>
      </c>
      <c r="Y47" s="280">
        <f>SUM(U47:X47)</f>
        <v>0</v>
      </c>
      <c r="Z47" s="279">
        <f>IF(Segment6_Rev_Methodology="Segment",Z83,IF(Segment6_Rev_Methodology="Activity-Based",Z151,IF(Segment6_Rev_Methodology="Backlog",Z225,"--")))</f>
        <v>0</v>
      </c>
      <c r="AA47" s="279">
        <f>IF(Segment6_Rev_Methodology="Segment",AA83,IF(Segment6_Rev_Methodology="Activity-Based",AA151,IF(Segment6_Rev_Methodology="Backlog",AA225,"--")))</f>
        <v>0</v>
      </c>
      <c r="AB47" s="279">
        <f>IF(Segment6_Rev_Methodology="Segment",AB83,IF(Segment6_Rev_Methodology="Activity-Based",AB151,IF(Segment6_Rev_Methodology="Backlog",AB225,"--")))</f>
        <v>0</v>
      </c>
      <c r="AC47" s="279">
        <f>IF(Segment6_Rev_Methodology="Segment",AC83,IF(Segment6_Rev_Methodology="Activity-Based",AC151,IF(Segment6_Rev_Methodology="Backlog",AC225,"--")))</f>
        <v>0</v>
      </c>
      <c r="AD47" s="280">
        <f>SUM(Z47:AC47)</f>
        <v>0</v>
      </c>
      <c r="AE47" s="280">
        <f>IF(Segment6_Rev_Methodology="Segment",AE83,IF(Segment6_Rev_Methodology="Activity-Based",AE151,IF(Segment6_Rev_Methodology="Backlog",AE225,"--")))</f>
        <v>0</v>
      </c>
      <c r="AF47" s="280">
        <f>IF(Segment6_Rev_Methodology="Segment",AF83,IF(Segment6_Rev_Methodology="Activity-Based",AF151,IF(Segment6_Rev_Methodology="Backlog",AF225,"--")))</f>
        <v>0</v>
      </c>
      <c r="AG47" s="280">
        <f>IF(Segment6_Rev_Methodology="Segment",AG83,IF(Segment6_Rev_Methodology="Activity-Based",AG151,IF(Segment6_Rev_Methodology="Backlog",AG225,"--")))</f>
        <v>0</v>
      </c>
      <c r="AH47" s="8"/>
      <c r="AI47" s="281" t="str">
        <f>IFERROR((T47/J47)^(1/3)-1,"--")</f>
        <v>--</v>
      </c>
      <c r="AJ47" s="282" t="str">
        <f>IFERROR((AG47/T47)^(1/5)-1,"--")</f>
        <v>--</v>
      </c>
    </row>
    <row r="48" ht="12.75" customHeight="1" spans="1:36" x14ac:dyDescent="0.25" outlineLevel="1" collapsed="1">
      <c r="A48" s="295"/>
      <c r="B48" s="296"/>
      <c r="C48" s="111" t="s">
        <v>247</v>
      </c>
      <c r="D48" s="296"/>
      <c r="E48" s="296"/>
      <c r="F48" s="297"/>
      <c r="G48" s="287" t="str">
        <f>IF($C$25="Annual",'Segment Analysis'!G199,'Segment Analysis'!G199)</f>
        <v>N/A</v>
      </c>
      <c r="H48" s="287" t="str">
        <f>IF($C$25="Annual",'Segment Analysis'!H199,'Segment Analysis'!H199)</f>
        <v>N/A</v>
      </c>
      <c r="I48" s="287" t="str">
        <f>IF($C$25="Annual",'Segment Analysis'!I199,'Segment Analysis'!I199)</f>
        <v>N/A</v>
      </c>
      <c r="J48" s="288"/>
      <c r="K48" s="287" t="str">
        <f>IF($C$25="Annual",'Segment Analysis'!K199,'Segment Analysis'!K199)</f>
        <v>N/A</v>
      </c>
      <c r="L48" s="287" t="str">
        <f>IF($C$25="Annual",'Segment Analysis'!L199,'Segment Analysis'!L199)</f>
        <v>N/A</v>
      </c>
      <c r="M48" s="287" t="str">
        <f>IF($C$25="Annual",'Segment Analysis'!M199,'Segment Analysis'!M199)</f>
        <v>N/A</v>
      </c>
      <c r="N48" s="287" t="str">
        <f>IF($C$25="Annual",'Segment Analysis'!N199,'Segment Analysis'!N199)</f>
        <v>N/A</v>
      </c>
      <c r="O48" s="288">
        <f>IF($C$25="Annual",'Segment Analysis'!O199,'Segment Analysis'!O199)</f>
        <v>0</v>
      </c>
      <c r="P48" s="287" t="str">
        <f>IF($C$25="Annual",'Segment Analysis'!P199,'Segment Analysis'!P199)</f>
        <v>N/A</v>
      </c>
      <c r="Q48" s="287" t="str">
        <f>IF($C$25="Annual",'Segment Analysis'!Q199,'Segment Analysis'!Q199)</f>
        <v>N/A</v>
      </c>
      <c r="R48" s="287" t="str">
        <f>IF($C$25="Annual",'Segment Analysis'!R199,'Segment Analysis'!R199)</f>
        <v>N/A</v>
      </c>
      <c r="S48" s="287" t="str">
        <f>IF($C$25="Annual",'Segment Analysis'!S199,'Segment Analysis'!S199)</f>
        <v>N/A</v>
      </c>
      <c r="T48" s="288">
        <f>IF($C$25="Annual",'Segment Analysis'!T199,'Segment Analysis'!T199)</f>
        <v>0</v>
      </c>
      <c r="U48" s="298" t="str">
        <f>IFERROR(U47/S47-1,"--")</f>
        <v>--</v>
      </c>
      <c r="V48" s="298" t="str">
        <f>IFERROR(V47/U47-1,"--")</f>
        <v>--</v>
      </c>
      <c r="W48" s="298" t="str">
        <f>IFERROR(W47/V47-1,"--")</f>
        <v>--</v>
      </c>
      <c r="X48" s="298" t="str">
        <f>IFERROR(X47/W47-1,"--")</f>
        <v>--</v>
      </c>
      <c r="Y48" s="299" t="str">
        <f>IFERROR(Y47/T47-1,"--")</f>
        <v>--</v>
      </c>
      <c r="Z48" s="298" t="str">
        <f>IFERROR(Z47/X47-1,"--")</f>
        <v>--</v>
      </c>
      <c r="AA48" s="298" t="str">
        <f>IFERROR(AA47/Z47-1,"--")</f>
        <v>--</v>
      </c>
      <c r="AB48" s="298" t="str">
        <f>IFERROR(AB47/AA47-1,"--")</f>
        <v>--</v>
      </c>
      <c r="AC48" s="298" t="str">
        <f>IFERROR(AC47/AB47-1,"--")</f>
        <v>--</v>
      </c>
      <c r="AD48" s="299" t="str">
        <f>IFERROR(AD47/Y47-1,"--")</f>
        <v>--</v>
      </c>
      <c r="AE48" s="299" t="str">
        <f>IFERROR(AE47/AD47-1,"--")</f>
        <v>--</v>
      </c>
      <c r="AF48" s="299" t="str">
        <f>IFERROR(AF47/AE47-1,"--")</f>
        <v>--</v>
      </c>
      <c r="AG48" s="299" t="str">
        <f>IFERROR(AG47/AF47-1,"--")</f>
        <v>--</v>
      </c>
      <c r="AH48" s="296"/>
      <c r="AI48" s="300"/>
      <c r="AJ48" s="301"/>
    </row>
    <row r="49" ht="12.75" customHeight="1" spans="1:36" x14ac:dyDescent="0.25" outlineLevel="1" collapsed="1">
      <c r="A49" s="295"/>
      <c r="B49" s="296"/>
      <c r="C49" s="111" t="s">
        <v>246</v>
      </c>
      <c r="D49" s="296"/>
      <c r="E49" s="296"/>
      <c r="F49" s="302">
        <f>'Segment Analysis'!F22</f>
        <v>0</v>
      </c>
      <c r="G49" s="302">
        <f>'Segment Analysis'!G22</f>
        <v>0</v>
      </c>
      <c r="H49" s="302">
        <f>'Segment Analysis'!H22</f>
        <v>0</v>
      </c>
      <c r="I49" s="302">
        <f>'Segment Analysis'!I22</f>
        <v>0</v>
      </c>
      <c r="J49" s="303">
        <f>'Segment Analysis'!J22</f>
        <v>0</v>
      </c>
      <c r="K49" s="302">
        <f>'Segment Analysis'!K22</f>
        <v>0</v>
      </c>
      <c r="L49" s="302">
        <f>'Segment Analysis'!L22</f>
        <v>0</v>
      </c>
      <c r="M49" s="302">
        <f>'Segment Analysis'!M22</f>
        <v>0</v>
      </c>
      <c r="N49" s="302">
        <f>'Segment Analysis'!N22</f>
        <v>0</v>
      </c>
      <c r="O49" s="303">
        <f>'Segment Analysis'!O22</f>
        <v>0</v>
      </c>
      <c r="P49" s="302">
        <f>'Segment Analysis'!P22</f>
        <v>0</v>
      </c>
      <c r="Q49" s="302">
        <f>'Segment Analysis'!Q22</f>
        <v>0</v>
      </c>
      <c r="R49" s="302">
        <f>'Segment Analysis'!R22</f>
        <v>0</v>
      </c>
      <c r="S49" s="302">
        <f>'Segment Analysis'!S22</f>
        <v>0</v>
      </c>
      <c r="T49" s="303">
        <f>'Segment Analysis'!T22</f>
        <v>0</v>
      </c>
      <c r="U49" s="298">
        <f>U47/U$30</f>
        <v>0</v>
      </c>
      <c r="V49" s="298">
        <f>V47/V$30</f>
        <v>0</v>
      </c>
      <c r="W49" s="298">
        <f>W47/W$30</f>
        <v>0</v>
      </c>
      <c r="X49" s="298">
        <f t="shared" ref="X49:AG49" si="5">X47/X$30</f>
        <v>0</v>
      </c>
      <c r="Y49" s="299">
        <f t="shared" si="5"/>
        <v>0</v>
      </c>
      <c r="Z49" s="298">
        <f t="shared" si="5"/>
        <v>0</v>
      </c>
      <c r="AA49" s="298">
        <f t="shared" si="5"/>
        <v>0</v>
      </c>
      <c r="AB49" s="298">
        <f t="shared" si="5"/>
        <v>0</v>
      </c>
      <c r="AC49" s="298">
        <f t="shared" si="5"/>
        <v>0</v>
      </c>
      <c r="AD49" s="299">
        <f t="shared" si="5"/>
        <v>0</v>
      </c>
      <c r="AE49" s="299">
        <f t="shared" si="5"/>
        <v>0</v>
      </c>
      <c r="AF49" s="299">
        <f t="shared" si="5"/>
        <v>0</v>
      </c>
      <c r="AG49" s="299">
        <f t="shared" si="5"/>
        <v>0</v>
      </c>
      <c r="AH49" s="296"/>
      <c r="AI49" s="304"/>
      <c r="AJ49" s="305"/>
    </row>
    <row r="50" ht="12.75" customHeight="1" spans="1:36" x14ac:dyDescent="0.25">
      <c r="A50" s="8"/>
      <c r="B50" s="8"/>
      <c r="C50" s="8"/>
      <c r="D50" s="8"/>
      <c r="E50" s="8"/>
      <c r="F50" s="272"/>
      <c r="G50" s="272"/>
      <c r="H50" s="272"/>
      <c r="I50" s="272"/>
      <c r="J50" s="273"/>
      <c r="K50" s="272"/>
      <c r="L50" s="272"/>
      <c r="M50" s="272"/>
      <c r="N50" s="272"/>
      <c r="O50" s="273"/>
      <c r="P50" s="272"/>
      <c r="Q50" s="272"/>
      <c r="R50" s="272"/>
      <c r="S50" s="272"/>
      <c r="T50" s="273"/>
      <c r="U50" s="274"/>
      <c r="V50" s="274"/>
      <c r="W50" s="274"/>
      <c r="X50" s="274"/>
      <c r="Y50" s="275"/>
      <c r="Z50" s="274"/>
      <c r="AA50" s="274"/>
      <c r="AB50" s="274"/>
      <c r="AC50" s="274"/>
      <c r="AD50" s="275"/>
      <c r="AE50" s="275"/>
      <c r="AF50" s="275"/>
      <c r="AG50" s="275"/>
      <c r="AH50" s="8"/>
      <c r="AI50" s="8"/>
      <c r="AJ50" s="8"/>
    </row>
    <row r="51" ht="12.75" customHeight="1" spans="1:36" x14ac:dyDescent="0.25">
      <c r="A51" s="257" t="s">
        <v>3</v>
      </c>
      <c r="B51" s="8"/>
      <c r="C51" s="53" t="s">
        <v>248</v>
      </c>
      <c r="D51" s="11"/>
      <c r="E51" s="11"/>
      <c r="F51" s="306" t="str">
        <f t="shared" ref="F51:AG51" si="6">F$28</f>
        <v>1Q23</v>
      </c>
      <c r="G51" s="306" t="str">
        <f t="shared" si="6"/>
        <v>2Q23</v>
      </c>
      <c r="H51" s="306" t="str">
        <f t="shared" si="6"/>
        <v>3Q23</v>
      </c>
      <c r="I51" s="306" t="str">
        <f t="shared" si="6"/>
        <v>4Q23</v>
      </c>
      <c r="J51" s="306">
        <f t="shared" si="6"/>
        <v>2023</v>
      </c>
      <c r="K51" s="306" t="str">
        <f t="shared" si="6"/>
        <v>1Q24</v>
      </c>
      <c r="L51" s="306" t="str">
        <f t="shared" si="6"/>
        <v>2Q24</v>
      </c>
      <c r="M51" s="306" t="str">
        <f t="shared" si="6"/>
        <v>3Q24</v>
      </c>
      <c r="N51" s="306" t="str">
        <f t="shared" si="6"/>
        <v>4Q24</v>
      </c>
      <c r="O51" s="306">
        <f t="shared" si="6"/>
        <v>2024</v>
      </c>
      <c r="P51" s="306" t="str">
        <f t="shared" si="6"/>
        <v>1Q25</v>
      </c>
      <c r="Q51" s="306" t="str">
        <f t="shared" si="6"/>
        <v>2Q25</v>
      </c>
      <c r="R51" s="306" t="str">
        <f t="shared" si="6"/>
        <v>3Q25</v>
      </c>
      <c r="S51" s="306" t="str">
        <f t="shared" si="6"/>
        <v>4Q25</v>
      </c>
      <c r="T51" s="306">
        <f t="shared" si="6"/>
        <v>2025</v>
      </c>
      <c r="U51" s="306" t="str">
        <f t="shared" si="6"/>
        <v>1Q26e</v>
      </c>
      <c r="V51" s="306" t="str">
        <f t="shared" si="6"/>
        <v>2Q26e</v>
      </c>
      <c r="W51" s="306" t="str">
        <f t="shared" si="6"/>
        <v>3Q26</v>
      </c>
      <c r="X51" s="306" t="str">
        <f t="shared" si="6"/>
        <v>4Q26e</v>
      </c>
      <c r="Y51" s="306" t="str">
        <f t="shared" si="6"/>
        <v>2026e</v>
      </c>
      <c r="Z51" s="306" t="str">
        <f t="shared" si="6"/>
        <v>1Q27e</v>
      </c>
      <c r="AA51" s="306" t="str">
        <f t="shared" si="6"/>
        <v>2Q27e</v>
      </c>
      <c r="AB51" s="306" t="str">
        <f t="shared" si="6"/>
        <v>3Q27e</v>
      </c>
      <c r="AC51" s="306" t="str">
        <f t="shared" si="6"/>
        <v>4Q27e</v>
      </c>
      <c r="AD51" s="306" t="str">
        <f t="shared" si="6"/>
        <v>2027e</v>
      </c>
      <c r="AE51" s="306" t="str">
        <f t="shared" si="6"/>
        <v>2028e</v>
      </c>
      <c r="AF51" s="306" t="str">
        <f t="shared" si="6"/>
        <v>2029e</v>
      </c>
      <c r="AG51" s="307" t="str">
        <f t="shared" si="6"/>
        <v>2030e</v>
      </c>
      <c r="AH51" s="270"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Collection Revenue</v>
      </c>
      <c r="D53" s="8"/>
      <c r="E53" s="8"/>
      <c r="F53" s="310">
        <f t="shared" ref="F53:T53" si="7">F32</f>
        <v>2458.4</v>
      </c>
      <c r="G53" s="310">
        <f t="shared" si="7"/>
        <v>2543</v>
      </c>
      <c r="H53" s="310">
        <f t="shared" si="7"/>
        <v>2616.5</v>
      </c>
      <c r="I53" s="310">
        <f t="shared" si="7"/>
        <v>2635</v>
      </c>
      <c r="J53" s="280">
        <f t="shared" si="7"/>
        <v>10252.9</v>
      </c>
      <c r="K53" s="310">
        <f t="shared" si="7"/>
        <v>2662.8</v>
      </c>
      <c r="L53" s="310">
        <f t="shared" si="7"/>
        <v>2722.8</v>
      </c>
      <c r="M53" s="310">
        <f t="shared" si="7"/>
        <v>2741.8</v>
      </c>
      <c r="N53" s="310">
        <f t="shared" si="7"/>
        <v>2728</v>
      </c>
      <c r="O53" s="280">
        <f t="shared" si="7"/>
        <v>10855.400000000001</v>
      </c>
      <c r="P53" s="310">
        <f t="shared" si="7"/>
        <v>2743</v>
      </c>
      <c r="Q53" s="310">
        <f t="shared" si="7"/>
        <v>2822</v>
      </c>
      <c r="R53" s="310">
        <f t="shared" si="7"/>
        <v>2835</v>
      </c>
      <c r="S53" s="310">
        <f t="shared" si="7"/>
        <v>2833</v>
      </c>
      <c r="T53" s="280">
        <f t="shared" si="7"/>
        <v>11233</v>
      </c>
      <c r="U53" s="279">
        <f>IF($C$25="Quarterly",S53*(1+U54),P53*(1+U54))</f>
        <v>2841.748</v>
      </c>
      <c r="V53" s="279">
        <f>IF($C$25="Quarterly",U53*(1+V54),Q53*(1+V54))</f>
        <v>2932.058</v>
      </c>
      <c r="W53" s="279">
        <f>IF($C$25="Quarterly",V53*(1+W54),R53*(1+W54))</f>
        <v>2945.5649999999996</v>
      </c>
      <c r="X53" s="279">
        <f>IF($C$25="Quarterly",W53*(1+X54),S53*(1+X54))</f>
        <v>2954.819</v>
      </c>
      <c r="Y53" s="280">
        <f>SUM(U53:X53)</f>
        <v>11674.189999999999</v>
      </c>
      <c r="Z53" s="279">
        <f>IF($C$25="Quarterly",X53*(1+Z54),U53*(1+Z54))</f>
        <v>2983.8354000000004</v>
      </c>
      <c r="AA53" s="279">
        <f>IF($C$25="Quarterly",Z53*(1+AA54),V53*(1+AA54))</f>
        <v>3075.728842</v>
      </c>
      <c r="AB53" s="279">
        <f>IF($C$25="Quarterly",AA53*(1+AB54),W53*(1+AB54))</f>
        <v>3095.7888149999994</v>
      </c>
      <c r="AC53" s="279">
        <f>IF($C$25="Quarterly",AB53*(1+AC54),X53*(1+AC54))</f>
        <v>3105.514769</v>
      </c>
      <c r="AD53" s="280">
        <f>SUM(Z53:AC53)</f>
        <v>12260.867826</v>
      </c>
      <c r="AE53" s="280">
        <f>AD53*(1+AE54)</f>
        <v>12849.389481648</v>
      </c>
      <c r="AF53" s="280">
        <f>AE53*(1+AF54)</f>
        <v>13504.708345212048</v>
      </c>
      <c r="AG53" s="280">
        <f>AF53*(1+AG54)</f>
        <v>14098.915512401378</v>
      </c>
      <c r="AH53" s="8"/>
      <c r="AI53" s="8"/>
      <c r="AJ53" s="8"/>
    </row>
    <row r="54" ht="12.75" customHeight="1" spans="1:36" x14ac:dyDescent="0.25">
      <c r="A54" s="296"/>
      <c r="B54" s="296"/>
      <c r="C54" s="111" t="str">
        <f>IF($C$25="Quarterly","% Growth QoQ","% Growth YoY")</f>
        <v>% Growth YoY</v>
      </c>
      <c r="D54" s="296"/>
      <c r="E54" s="296"/>
      <c r="F54" s="311"/>
      <c r="G54" s="311" t="str">
        <f t="shared" ref="G54:T54" si="8">G33</f>
        <v>N/A</v>
      </c>
      <c r="H54" s="311" t="str">
        <f t="shared" si="8"/>
        <v>N/A</v>
      </c>
      <c r="I54" s="311" t="str">
        <f t="shared" si="8"/>
        <v>N/A</v>
      </c>
      <c r="J54" s="299">
        <f t="shared" si="8"/>
        <v>0</v>
      </c>
      <c r="K54" s="311">
        <f t="shared" si="8"/>
        <v>0.08314350797266523</v>
      </c>
      <c r="L54" s="311">
        <f t="shared" si="8"/>
        <v>0.07070389303971703</v>
      </c>
      <c r="M54" s="311">
        <f t="shared" si="8"/>
        <v>0.047888400535065934</v>
      </c>
      <c r="N54" s="311">
        <f t="shared" si="8"/>
        <v>0.03529411764705892</v>
      </c>
      <c r="O54" s="299">
        <f t="shared" si="8"/>
        <v>0.05876386193174632</v>
      </c>
      <c r="P54" s="311">
        <f t="shared" si="8"/>
        <v>0.030118672074507913</v>
      </c>
      <c r="Q54" s="311">
        <f t="shared" si="8"/>
        <v>0.03643308359042163</v>
      </c>
      <c r="R54" s="311">
        <f t="shared" si="8"/>
        <v>0.03399226785323495</v>
      </c>
      <c r="S54" s="311">
        <f t="shared" si="8"/>
        <v>0.03848973607038131</v>
      </c>
      <c r="T54" s="299">
        <f t="shared" si="8"/>
        <v>0.034784531201061064</v>
      </c>
      <c r="U54" s="298">
        <f>IF(Case_Scenario="Bull",U55,IF(Case_Scenario="Base",U56,IF(Case_Scenario="bear",U57,"N/A")))</f>
        <v>0.036</v>
      </c>
      <c r="V54" s="298">
        <f>IF(Case_Scenario="Bull",V55,IF(Case_Scenario="Base",V56,IF(Case_Scenario="bear",V57,"N/A")))</f>
        <v>0.039</v>
      </c>
      <c r="W54" s="298">
        <f>IF(Case_Scenario="Bull",W55,IF(Case_Scenario="Base",W56,IF(Case_Scenario="bear",W57,"N/A")))</f>
        <v>0.039</v>
      </c>
      <c r="X54" s="299">
        <f>IF(Case_Scenario="Bull",X55,IF(Case_Scenario="Base",X56,IF(Case_Scenario="bear",X57,"N/A")))</f>
        <v>0.043</v>
      </c>
      <c r="Y54" s="299"/>
      <c r="Z54" s="298">
        <f>IF(Case_Scenario="Bull",Z55,IF(Case_Scenario="Base",Z56,IF(Case_Scenario="bear",Z57,"N/A")))</f>
        <v>0.05</v>
      </c>
      <c r="AA54" s="298">
        <f>IF(Case_Scenario="Bull",AA55,IF(Case_Scenario="Base",AA56,IF(Case_Scenario="bear",AA57,"N/A")))</f>
        <v>0.049</v>
      </c>
      <c r="AB54" s="298">
        <f>IF(Case_Scenario="Bull",AB55,IF(Case_Scenario="Base",AB56,IF(Case_Scenario="bear",AB57,"N/A")))</f>
        <v>0.051</v>
      </c>
      <c r="AC54" s="298">
        <f>IF(Case_Scenario="Bull",AC55,IF(Case_Scenario="Base",AC56,IF(Case_Scenario="bear",AC57,"N/A")))</f>
        <v>0.051</v>
      </c>
      <c r="AD54" s="299"/>
      <c r="AE54" s="299">
        <f>IF(Case_Scenario="Bull",AE55,IF(Case_Scenario="Base",AE56,IF(Case_Scenario="bear",AE57,"N/A")))</f>
        <v>0.048</v>
      </c>
      <c r="AF54" s="299">
        <f>IF(Case_Scenario="Bull",AF55,IF(Case_Scenario="Base",AF56,IF(Case_Scenario="bear",AF57,"N/A")))</f>
        <v>0.051</v>
      </c>
      <c r="AG54" s="299">
        <f>IF(Case_Scenario="Bull",AG55,IF(Case_Scenario="Base",AG56,IF(Case_Scenario="bear",AG57,"N/A")))</f>
        <v>0.044</v>
      </c>
      <c r="AH54" s="296"/>
      <c r="AI54" s="296"/>
      <c r="AJ54" s="296"/>
    </row>
    <row r="55" ht="12.75" customHeight="1" spans="1:36" x14ac:dyDescent="0.25">
      <c r="A55" s="8"/>
      <c r="B55" s="8"/>
      <c r="C55" s="130" t="s">
        <v>249</v>
      </c>
      <c r="D55" s="8"/>
      <c r="E55" s="8"/>
      <c r="F55" s="312"/>
      <c r="G55" s="312"/>
      <c r="H55" s="312"/>
      <c r="I55" s="312"/>
      <c r="J55" s="160"/>
      <c r="K55" s="312"/>
      <c r="L55" s="312"/>
      <c r="M55" s="312"/>
      <c r="N55" s="312"/>
      <c r="O55" s="160"/>
      <c r="P55" s="312"/>
      <c r="Q55" s="312"/>
      <c r="R55" s="312"/>
      <c r="S55" s="312"/>
      <c r="T55" s="160"/>
      <c r="U55" s="313">
        <f>U56+0.02</f>
        <v>0.055999999999999994</v>
      </c>
      <c r="V55" s="313">
        <f>V56+0.02</f>
        <v>0.059</v>
      </c>
      <c r="W55" s="313">
        <f>W56+0.02</f>
        <v>0.059</v>
      </c>
      <c r="X55" s="313">
        <f>X56+0.02</f>
        <v>0.063</v>
      </c>
      <c r="Y55" s="314"/>
      <c r="Z55" s="313">
        <f>Z56+0.02</f>
        <v>0.07</v>
      </c>
      <c r="AA55" s="313">
        <f>AA56+0.02</f>
        <v>0.069</v>
      </c>
      <c r="AB55" s="313">
        <f>AB56+0.02</f>
        <v>0.071</v>
      </c>
      <c r="AC55" s="313">
        <f>AC56+0.02</f>
        <v>0.071</v>
      </c>
      <c r="AD55" s="314"/>
      <c r="AE55" s="314">
        <f>AE56+0.02</f>
        <v>0.068</v>
      </c>
      <c r="AF55" s="314">
        <f>AF56+0.02</f>
        <v>0.071</v>
      </c>
      <c r="AG55" s="314">
        <f>AG56+0.02</f>
        <v>0.064</v>
      </c>
      <c r="AH55" s="8"/>
      <c r="AI55" s="8"/>
      <c r="AJ55" s="8"/>
    </row>
    <row r="56" ht="12.75" customHeight="1" spans="1:36" x14ac:dyDescent="0.25">
      <c r="A56" s="8"/>
      <c r="B56" s="8"/>
      <c r="C56" s="130" t="s">
        <v>250</v>
      </c>
      <c r="D56" s="8"/>
      <c r="E56" s="8"/>
      <c r="F56" s="312"/>
      <c r="G56" s="312"/>
      <c r="H56" s="312"/>
      <c r="I56" s="312"/>
      <c r="J56" s="160"/>
      <c r="K56" s="312"/>
      <c r="L56" s="312"/>
      <c r="M56" s="312"/>
      <c r="N56" s="312"/>
      <c r="O56" s="160"/>
      <c r="P56" s="312"/>
      <c r="Q56" s="312"/>
      <c r="R56" s="312"/>
      <c r="S56" s="312"/>
      <c r="T56" s="160"/>
      <c r="U56" s="313">
        <v>0.036</v>
      </c>
      <c r="V56" s="313">
        <v>0.039</v>
      </c>
      <c r="W56" s="313">
        <v>0.039</v>
      </c>
      <c r="X56" s="313">
        <v>0.043</v>
      </c>
      <c r="Y56" s="314"/>
      <c r="Z56" s="313">
        <v>0.05</v>
      </c>
      <c r="AA56" s="313">
        <v>0.049</v>
      </c>
      <c r="AB56" s="313">
        <v>0.051</v>
      </c>
      <c r="AC56" s="313">
        <v>0.051</v>
      </c>
      <c r="AD56" s="314"/>
      <c r="AE56" s="314">
        <v>0.048</v>
      </c>
      <c r="AF56" s="314">
        <v>0.051</v>
      </c>
      <c r="AG56" s="314">
        <v>0.044</v>
      </c>
      <c r="AH56" s="8"/>
      <c r="AI56" s="8"/>
      <c r="AJ56" s="8"/>
    </row>
    <row r="57" ht="12.75" customHeight="1" spans="1:36" x14ac:dyDescent="0.25">
      <c r="A57" s="8"/>
      <c r="B57" s="8"/>
      <c r="C57" s="130" t="s">
        <v>251</v>
      </c>
      <c r="D57" s="8"/>
      <c r="E57" s="8"/>
      <c r="F57" s="312"/>
      <c r="G57" s="312"/>
      <c r="H57" s="312"/>
      <c r="I57" s="312"/>
      <c r="J57" s="160"/>
      <c r="K57" s="312"/>
      <c r="L57" s="312"/>
      <c r="M57" s="312"/>
      <c r="N57" s="312"/>
      <c r="O57" s="160"/>
      <c r="P57" s="312"/>
      <c r="Q57" s="312"/>
      <c r="R57" s="312"/>
      <c r="S57" s="312"/>
      <c r="T57" s="160"/>
      <c r="U57" s="313">
        <f>U56-1.3%</f>
        <v>0.022999999999999996</v>
      </c>
      <c r="V57" s="313">
        <f>V56-1.3%</f>
        <v>0.026</v>
      </c>
      <c r="W57" s="313">
        <f>W56-1.3%</f>
        <v>0.026</v>
      </c>
      <c r="X57" s="313">
        <f>X56-1.3%</f>
        <v>0.029999999999999995</v>
      </c>
      <c r="Y57" s="314"/>
      <c r="Z57" s="313">
        <f>Z56-1.3%</f>
        <v>0.037000000000000005</v>
      </c>
      <c r="AA57" s="313">
        <f>AA56-1.3%</f>
        <v>0.036000000000000004</v>
      </c>
      <c r="AB57" s="313">
        <f>AB56-1.3%</f>
        <v>0.03799999999999999</v>
      </c>
      <c r="AC57" s="313">
        <f>AC56-1.3%</f>
        <v>0.03799999999999999</v>
      </c>
      <c r="AD57" s="314"/>
      <c r="AE57" s="314">
        <f>AE56-1.3%</f>
        <v>0.035</v>
      </c>
      <c r="AF57" s="314">
        <f>AF56-1.3%</f>
        <v>0.03799999999999999</v>
      </c>
      <c r="AG57" s="314">
        <f>AG56-1.3%</f>
        <v>0.030999999999999996</v>
      </c>
      <c r="AH57" s="8"/>
      <c r="AI57" s="8"/>
      <c r="AJ57" s="8"/>
    </row>
    <row r="58" ht="12.75" customHeight="1" spans="1:36" x14ac:dyDescent="0.25">
      <c r="A58" s="8"/>
      <c r="B58" s="8"/>
      <c r="C58" s="8"/>
      <c r="D58" s="8"/>
      <c r="E58" s="8"/>
      <c r="F58" s="312"/>
      <c r="G58" s="312"/>
      <c r="H58" s="312"/>
      <c r="I58" s="312"/>
      <c r="J58" s="160"/>
      <c r="K58" s="312"/>
      <c r="L58" s="312"/>
      <c r="M58" s="312"/>
      <c r="N58" s="312"/>
      <c r="O58" s="160"/>
      <c r="P58" s="312"/>
      <c r="Q58" s="312"/>
      <c r="R58" s="312"/>
      <c r="S58" s="312"/>
      <c r="T58" s="160"/>
      <c r="U58" s="315"/>
      <c r="V58" s="315"/>
      <c r="W58" s="315"/>
      <c r="X58" s="315"/>
      <c r="Y58" s="160"/>
      <c r="Z58" s="315"/>
      <c r="AA58" s="315"/>
      <c r="AB58" s="315"/>
      <c r="AC58" s="315"/>
      <c r="AD58" s="160"/>
      <c r="AE58" s="160"/>
      <c r="AF58" s="160"/>
      <c r="AG58" s="160"/>
      <c r="AH58" s="8"/>
      <c r="AI58" s="8"/>
      <c r="AJ58" s="8"/>
    </row>
    <row r="59" ht="12.75" customHeight="1" spans="1:36" x14ac:dyDescent="0.25">
      <c r="A59" s="257" t="s">
        <v>3</v>
      </c>
      <c r="B59" s="8"/>
      <c r="C59" s="130" t="str">
        <f>C35</f>
        <v>Landfill Revenue</v>
      </c>
      <c r="D59" s="8"/>
      <c r="E59" s="8"/>
      <c r="F59" s="310">
        <f t="shared" ref="F59:T59" si="9">F35</f>
        <v>392.6</v>
      </c>
      <c r="G59" s="310">
        <f t="shared" si="9"/>
        <v>431</v>
      </c>
      <c r="H59" s="310">
        <f t="shared" si="9"/>
        <v>436.3</v>
      </c>
      <c r="I59" s="310">
        <f t="shared" si="9"/>
        <v>419.6</v>
      </c>
      <c r="J59" s="280">
        <f t="shared" si="9"/>
        <v>1679.5</v>
      </c>
      <c r="K59" s="310">
        <f t="shared" si="9"/>
        <v>404.4</v>
      </c>
      <c r="L59" s="310">
        <f t="shared" si="9"/>
        <v>440.2</v>
      </c>
      <c r="M59" s="310">
        <f t="shared" si="9"/>
        <v>452.8</v>
      </c>
      <c r="N59" s="310">
        <f t="shared" si="9"/>
        <v>443</v>
      </c>
      <c r="O59" s="280">
        <f t="shared" si="9"/>
        <v>1740.3999999999999</v>
      </c>
      <c r="P59" s="310">
        <f t="shared" si="9"/>
        <v>421</v>
      </c>
      <c r="Q59" s="310">
        <f t="shared" si="9"/>
        <v>516</v>
      </c>
      <c r="R59" s="310">
        <f t="shared" si="9"/>
        <v>516</v>
      </c>
      <c r="S59" s="310">
        <f t="shared" si="9"/>
        <v>467</v>
      </c>
      <c r="T59" s="280">
        <f t="shared" si="9"/>
        <v>1920</v>
      </c>
      <c r="U59" s="279">
        <f>IF($C$25="Quarterly",S59*(1+U60),P59*(1+U60))</f>
        <v>439.10299999999995</v>
      </c>
      <c r="V59" s="279">
        <f>IF($C$25="Quarterly",U59*(1+V60),Q59*(1+V60))</f>
        <v>519.612</v>
      </c>
      <c r="W59" s="279">
        <f>IF($C$25="Quarterly",V59*(1+W60),R59*(1+W60))</f>
        <v>520.6439999999999</v>
      </c>
      <c r="X59" s="279">
        <f>IF($C$25="Quarterly",W59*(1+X60),S59*(1+X60))</f>
        <v>488.94899999999996</v>
      </c>
      <c r="Y59" s="280">
        <f>SUM(U59:X59)</f>
        <v>1968.308</v>
      </c>
      <c r="Z59" s="279">
        <f>IF($C$25="Quarterly",X59*(1+Z60),U59*(1+Z60))</f>
        <v>459.74084099999993</v>
      </c>
      <c r="AA59" s="279">
        <f>IF($C$25="Quarterly",Z59*(1+AA60),V59*(1+AA60))</f>
        <v>546.6318239999999</v>
      </c>
      <c r="AB59" s="279">
        <f>IF($C$25="Quarterly",AA59*(1+AB60),W59*(1+AB60))</f>
        <v>545.6349119999999</v>
      </c>
      <c r="AC59" s="279">
        <f>IF($C$25="Quarterly",AB59*(1+AC60),X59*(1+AC60))</f>
        <v>510.9517049999999</v>
      </c>
      <c r="AD59" s="280">
        <f>SUM(Z59:AC59)</f>
        <v>2062.959282</v>
      </c>
      <c r="AE59" s="280">
        <f>AD59*(1+AE60)</f>
        <v>2180.547961074</v>
      </c>
      <c r="AF59" s="280">
        <f>AE59*(1+AF60)</f>
        <v>2302.658646894144</v>
      </c>
      <c r="AG59" s="280">
        <f>AF59*(1+AG60)</f>
        <v>2427.002213826428</v>
      </c>
      <c r="AH59" s="8"/>
      <c r="AI59" s="8"/>
      <c r="AJ59" s="8"/>
    </row>
    <row r="60" ht="12.75" customHeight="1" spans="1:36" x14ac:dyDescent="0.25">
      <c r="A60" s="8"/>
      <c r="B60" s="8"/>
      <c r="C60" s="111" t="str">
        <f>IF($C$25="Quarterly","% Growth QoQ","% Growth YoY")</f>
        <v>% Growth YoY</v>
      </c>
      <c r="D60" s="8"/>
      <c r="E60" s="8"/>
      <c r="F60" s="312"/>
      <c r="G60" s="311" t="str">
        <f t="shared" ref="G60:T60" si="10">G36</f>
        <v>N/A</v>
      </c>
      <c r="H60" s="311" t="str">
        <f t="shared" si="10"/>
        <v>N/A</v>
      </c>
      <c r="I60" s="311" t="str">
        <f t="shared" si="10"/>
        <v>N/A</v>
      </c>
      <c r="J60" s="299">
        <f t="shared" si="10"/>
        <v>0</v>
      </c>
      <c r="K60" s="311">
        <f t="shared" si="10"/>
        <v>0.030056036678553166</v>
      </c>
      <c r="L60" s="311">
        <f t="shared" si="10"/>
        <v>0.02134570765661259</v>
      </c>
      <c r="M60" s="311">
        <f t="shared" si="10"/>
        <v>0.03781801512720606</v>
      </c>
      <c r="N60" s="311">
        <f t="shared" si="10"/>
        <v>0.05576739752144899</v>
      </c>
      <c r="O60" s="299">
        <f t="shared" si="10"/>
        <v>0.036260791902351874</v>
      </c>
      <c r="P60" s="311">
        <f t="shared" si="10"/>
        <v>0.041048466864490596</v>
      </c>
      <c r="Q60" s="311">
        <f t="shared" si="10"/>
        <v>0.1721944570649705</v>
      </c>
      <c r="R60" s="311">
        <f t="shared" si="10"/>
        <v>0.13957597173144864</v>
      </c>
      <c r="S60" s="311">
        <f t="shared" si="10"/>
        <v>0.05417607223476306</v>
      </c>
      <c r="T60" s="299">
        <f t="shared" si="10"/>
        <v>0.1031946678924387</v>
      </c>
      <c r="U60" s="298">
        <f>IF(Case_Scenario="Bull",U61,IF(Case_Scenario="Base",U62,IF(Case_Scenario="bear",U63,"N/A")))</f>
        <v>0.043</v>
      </c>
      <c r="V60" s="298">
        <f>IF(Case_Scenario="Bull",V61,IF(Case_Scenario="Base",V62,IF(Case_Scenario="bear",V63,"N/A")))</f>
        <v>0.007</v>
      </c>
      <c r="W60" s="298">
        <f>IF(Case_Scenario="Bull",W61,IF(Case_Scenario="Base",W62,IF(Case_Scenario="bear",W63,"N/A")))</f>
        <v>0.009</v>
      </c>
      <c r="X60" s="298">
        <f>IF(Case_Scenario="Bull",X61,IF(Case_Scenario="Base",X62,IF(Case_Scenario="bear",X63,"N/A")))</f>
        <v>0.047</v>
      </c>
      <c r="Y60" s="299"/>
      <c r="Z60" s="298">
        <f>IF(Case_Scenario="Bull",Z61,IF(Case_Scenario="Base",Z62,IF(Case_Scenario="bear",Z63,"N/A")))</f>
        <v>0.047</v>
      </c>
      <c r="AA60" s="298">
        <f>IF(Case_Scenario="Bull",AA61,IF(Case_Scenario="Base",AA62,IF(Case_Scenario="bear",AA63,"N/A")))</f>
        <v>0.052</v>
      </c>
      <c r="AB60" s="298">
        <f>IF(Case_Scenario="Bull",AB61,IF(Case_Scenario="Base",AB62,IF(Case_Scenario="bear",AB63,"N/A")))</f>
        <v>0.048</v>
      </c>
      <c r="AC60" s="298">
        <f>IF(Case_Scenario="Bull",AC61,IF(Case_Scenario="Base",AC62,IF(Case_Scenario="bear",AC63,"N/A")))</f>
        <v>0.045</v>
      </c>
      <c r="AD60" s="299"/>
      <c r="AE60" s="316">
        <f>IF(Case_Scenario="Bull",AE61,IF(Case_Scenario="Base",AE62,IF(Case_Scenario="bear",AE63,"N/A")))</f>
        <v>0.057</v>
      </c>
      <c r="AF60" s="316">
        <f>IF(Case_Scenario="Bull",AF61,IF(Case_Scenario="Base",AF62,IF(Case_Scenario="bear",AF63,"N/A")))</f>
        <v>0.056</v>
      </c>
      <c r="AG60" s="316">
        <f>IF(Case_Scenario="Bull",AG61,IF(Case_Scenario="Base",AG62,IF(Case_Scenario="bear",AG63,"N/A")))</f>
        <v>0.054</v>
      </c>
      <c r="AH60" s="8"/>
      <c r="AI60" s="8"/>
      <c r="AJ60" s="8"/>
    </row>
    <row r="61" ht="12.75" customHeight="1" spans="1:36" x14ac:dyDescent="0.25">
      <c r="A61" s="296"/>
      <c r="B61" s="296"/>
      <c r="C61" s="130" t="s">
        <v>249</v>
      </c>
      <c r="D61" s="296"/>
      <c r="E61" s="296"/>
      <c r="F61" s="317"/>
      <c r="G61" s="317"/>
      <c r="H61" s="317"/>
      <c r="I61" s="317"/>
      <c r="J61" s="318"/>
      <c r="K61" s="317"/>
      <c r="L61" s="317"/>
      <c r="M61" s="317"/>
      <c r="N61" s="317"/>
      <c r="O61" s="318"/>
      <c r="P61" s="317"/>
      <c r="Q61" s="317"/>
      <c r="R61" s="317"/>
      <c r="S61" s="317"/>
      <c r="T61" s="318"/>
      <c r="U61" s="313">
        <f>U62+0.02</f>
        <v>0.063</v>
      </c>
      <c r="V61" s="313">
        <f>V62+0.02</f>
        <v>0.027</v>
      </c>
      <c r="W61" s="313">
        <f>W62+0.02</f>
        <v>0.028999999999999998</v>
      </c>
      <c r="X61" s="313">
        <f>X62+0.02</f>
        <v>0.067</v>
      </c>
      <c r="Y61" s="314"/>
      <c r="Z61" s="313">
        <f>Z62+0.02</f>
        <v>0.067</v>
      </c>
      <c r="AA61" s="313">
        <f>AA62+0.02</f>
        <v>0.072</v>
      </c>
      <c r="AB61" s="313">
        <f>AB62+0.02</f>
        <v>0.068</v>
      </c>
      <c r="AC61" s="313">
        <f>AC62+0.02</f>
        <v>0.065</v>
      </c>
      <c r="AD61" s="314"/>
      <c r="AE61" s="314">
        <f>AE62+0.02</f>
        <v>0.077</v>
      </c>
      <c r="AF61" s="314">
        <f>AF62+0.02</f>
        <v>0.076</v>
      </c>
      <c r="AG61" s="314">
        <f>AG62+0.02</f>
        <v>0.074</v>
      </c>
      <c r="AH61" s="296"/>
      <c r="AI61" s="296"/>
      <c r="AJ61" s="296"/>
    </row>
    <row r="62" ht="12.75" customHeight="1" spans="1:36" x14ac:dyDescent="0.25">
      <c r="A62" s="296"/>
      <c r="B62" s="296"/>
      <c r="C62" s="130" t="s">
        <v>250</v>
      </c>
      <c r="D62" s="296"/>
      <c r="E62" s="296"/>
      <c r="F62" s="317"/>
      <c r="G62" s="317"/>
      <c r="H62" s="317"/>
      <c r="I62" s="317"/>
      <c r="J62" s="318"/>
      <c r="K62" s="317"/>
      <c r="L62" s="317"/>
      <c r="M62" s="317"/>
      <c r="N62" s="317"/>
      <c r="O62" s="318"/>
      <c r="P62" s="317"/>
      <c r="Q62" s="317"/>
      <c r="R62" s="317"/>
      <c r="S62" s="317"/>
      <c r="T62" s="318"/>
      <c r="U62" s="313">
        <v>0.043</v>
      </c>
      <c r="V62" s="313">
        <v>0.007</v>
      </c>
      <c r="W62" s="313">
        <v>0.009</v>
      </c>
      <c r="X62" s="313">
        <v>0.047</v>
      </c>
      <c r="Y62" s="314"/>
      <c r="Z62" s="313">
        <v>0.047</v>
      </c>
      <c r="AA62" s="313">
        <v>0.052</v>
      </c>
      <c r="AB62" s="313">
        <v>0.048</v>
      </c>
      <c r="AC62" s="313">
        <v>0.045</v>
      </c>
      <c r="AD62" s="314"/>
      <c r="AE62" s="314">
        <v>0.057</v>
      </c>
      <c r="AF62" s="314">
        <v>0.056</v>
      </c>
      <c r="AG62" s="314">
        <v>0.054</v>
      </c>
      <c r="AH62" s="296"/>
      <c r="AI62" s="296"/>
      <c r="AJ62" s="296"/>
    </row>
    <row r="63" ht="12.75" customHeight="1" spans="1:36" x14ac:dyDescent="0.25">
      <c r="A63" s="296"/>
      <c r="B63" s="296"/>
      <c r="C63" s="130" t="s">
        <v>251</v>
      </c>
      <c r="D63" s="296"/>
      <c r="E63" s="296"/>
      <c r="F63" s="317"/>
      <c r="G63" s="317"/>
      <c r="H63" s="317"/>
      <c r="I63" s="317"/>
      <c r="J63" s="318"/>
      <c r="K63" s="317"/>
      <c r="L63" s="317"/>
      <c r="M63" s="317"/>
      <c r="N63" s="317"/>
      <c r="O63" s="318"/>
      <c r="P63" s="317"/>
      <c r="Q63" s="317"/>
      <c r="R63" s="317"/>
      <c r="S63" s="317"/>
      <c r="T63" s="318"/>
      <c r="U63" s="313">
        <f>U62-1.3%</f>
        <v>0.029999999999999995</v>
      </c>
      <c r="V63" s="313">
        <f>V62-1.3%</f>
        <v>-0.006000000000000001</v>
      </c>
      <c r="W63" s="313">
        <f>W62-1.3%</f>
        <v>-0.004000000000000002</v>
      </c>
      <c r="X63" s="313">
        <f>X62-1.3%</f>
        <v>0.034</v>
      </c>
      <c r="Y63" s="314"/>
      <c r="Z63" s="313">
        <f>Z62-1.3%</f>
        <v>0.034</v>
      </c>
      <c r="AA63" s="313">
        <f>AA62-1.3%</f>
        <v>0.03899999999999999</v>
      </c>
      <c r="AB63" s="313">
        <f>AB62-1.3%</f>
        <v>0.035</v>
      </c>
      <c r="AC63" s="313">
        <f>AC62-1.3%</f>
        <v>0.032</v>
      </c>
      <c r="AD63" s="319"/>
      <c r="AE63" s="314">
        <f>AE62-1.3%</f>
        <v>0.044</v>
      </c>
      <c r="AF63" s="314">
        <f>AF62-1.3%</f>
        <v>0.043</v>
      </c>
      <c r="AG63" s="314">
        <f>AG62-1.3%</f>
        <v>0.040999999999999995</v>
      </c>
      <c r="AH63" s="296"/>
      <c r="AI63" s="296"/>
      <c r="AJ63" s="296"/>
    </row>
    <row r="64" ht="12.75" customHeight="1" spans="1:36" x14ac:dyDescent="0.25">
      <c r="A64" s="8"/>
      <c r="B64" s="8"/>
      <c r="C64" s="8"/>
      <c r="D64" s="8"/>
      <c r="E64" s="8"/>
      <c r="F64" s="312"/>
      <c r="G64" s="312"/>
      <c r="H64" s="312"/>
      <c r="I64" s="312"/>
      <c r="J64" s="160"/>
      <c r="K64" s="312"/>
      <c r="L64" s="312"/>
      <c r="M64" s="312"/>
      <c r="N64" s="312"/>
      <c r="O64" s="160"/>
      <c r="P64" s="312"/>
      <c r="Q64" s="312"/>
      <c r="R64" s="312"/>
      <c r="S64" s="312"/>
      <c r="T64" s="160"/>
      <c r="U64" s="315"/>
      <c r="V64" s="315"/>
      <c r="W64" s="315"/>
      <c r="X64" s="315"/>
      <c r="Y64" s="160"/>
      <c r="Z64" s="315"/>
      <c r="AA64" s="315"/>
      <c r="AB64" s="315"/>
      <c r="AC64" s="315"/>
      <c r="AD64" s="160"/>
      <c r="AE64" s="160"/>
      <c r="AF64" s="160"/>
      <c r="AG64" s="160"/>
      <c r="AH64" s="8"/>
      <c r="AI64" s="8"/>
      <c r="AJ64" s="8"/>
    </row>
    <row r="65" ht="12.75" customHeight="1" spans="1:36" x14ac:dyDescent="0.25">
      <c r="A65" s="257" t="s">
        <v>3</v>
      </c>
      <c r="B65" s="8"/>
      <c r="C65" s="130" t="str">
        <f>C38</f>
        <v>Environmental solutions Revenue</v>
      </c>
      <c r="D65" s="8"/>
      <c r="E65" s="8"/>
      <c r="F65" s="310">
        <f t="shared" ref="F65:T65" si="11">F38</f>
        <v>408.3</v>
      </c>
      <c r="G65" s="310">
        <f t="shared" si="11"/>
        <v>398.3</v>
      </c>
      <c r="H65" s="310">
        <f t="shared" si="11"/>
        <v>404.8</v>
      </c>
      <c r="I65" s="310">
        <f t="shared" si="11"/>
        <v>413.4</v>
      </c>
      <c r="J65" s="280">
        <f t="shared" si="11"/>
        <v>1624.8000000000002</v>
      </c>
      <c r="K65" s="310">
        <f t="shared" si="11"/>
        <v>423.3</v>
      </c>
      <c r="L65" s="310">
        <f t="shared" si="11"/>
        <v>472.6</v>
      </c>
      <c r="M65" s="310">
        <f t="shared" si="11"/>
        <v>464.7</v>
      </c>
      <c r="N65" s="310">
        <f t="shared" si="11"/>
        <v>482</v>
      </c>
      <c r="O65" s="280">
        <f t="shared" si="11"/>
        <v>1842.6000000000001</v>
      </c>
      <c r="P65" s="310">
        <f t="shared" si="11"/>
        <v>449</v>
      </c>
      <c r="Q65" s="310">
        <f t="shared" si="11"/>
        <v>462</v>
      </c>
      <c r="R65" s="310">
        <f t="shared" si="11"/>
        <v>433</v>
      </c>
      <c r="S65" s="310">
        <f t="shared" si="11"/>
        <v>422</v>
      </c>
      <c r="T65" s="280">
        <f t="shared" si="11"/>
        <v>1766</v>
      </c>
      <c r="U65" s="279">
        <f>IF($C$25="Quarterly",S65*(1+U66),P65*(1+U66))</f>
        <v>463.368</v>
      </c>
      <c r="V65" s="279">
        <f>IF($C$25="Quarterly",U65*(1+V66),Q65*(1+V66))</f>
        <v>478.16999999999996</v>
      </c>
      <c r="W65" s="279">
        <f>IF($C$25="Quarterly",V65*(1+W66),R65*(1+W66))</f>
        <v>449.02099999999996</v>
      </c>
      <c r="X65" s="279">
        <f>IF($C$25="Quarterly",W65*(1+X66),S65*(1+X66))</f>
        <v>442.25600000000003</v>
      </c>
      <c r="Y65" s="280">
        <f>SUM(U65:X65)</f>
        <v>1832.815</v>
      </c>
      <c r="Z65" s="279">
        <f>IF($C$25="Quarterly",X65*(1+Z66),U65*(1+Z66))</f>
        <v>489.31660800000003</v>
      </c>
      <c r="AA65" s="279">
        <f>IF($C$25="Quarterly",Z65*(1+AA66),V65*(1+AA66))</f>
        <v>502.55666999999994</v>
      </c>
      <c r="AB65" s="279">
        <f>IF($C$25="Quarterly",AA65*(1+AB66),W65*(1+AB66))</f>
        <v>471.02302899999995</v>
      </c>
      <c r="AC65" s="279">
        <f>IF($C$25="Quarterly",AB65*(1+AC66),X65*(1+AC66))</f>
        <v>463.926544</v>
      </c>
      <c r="AD65" s="280">
        <f>SUM(Z65:AC65)</f>
        <v>1926.822851</v>
      </c>
      <c r="AE65" s="280">
        <f>AD65*(1+AE66)</f>
        <v>2025.0908164009998</v>
      </c>
      <c r="AF65" s="280">
        <f>AE65*(1+AF66)</f>
        <v>2138.495902119456</v>
      </c>
      <c r="AG65" s="280">
        <f>AF65*(1+AG66)</f>
        <v>2288.190615267818</v>
      </c>
      <c r="AH65" s="8"/>
      <c r="AI65" s="8"/>
      <c r="AJ65" s="8"/>
    </row>
    <row r="66" ht="12.75" customHeight="1" spans="1:36" x14ac:dyDescent="0.25">
      <c r="A66" s="8"/>
      <c r="B66" s="8"/>
      <c r="C66" s="111" t="str">
        <f>IF($C$25="Quarterly","% Growth QoQ","% Growth YoY")</f>
        <v>% Growth YoY</v>
      </c>
      <c r="D66" s="8"/>
      <c r="E66" s="8"/>
      <c r="F66" s="312"/>
      <c r="G66" s="311" t="str">
        <f t="shared" ref="G66:T66" si="12">G39</f>
        <v>N/A</v>
      </c>
      <c r="H66" s="311" t="str">
        <f t="shared" si="12"/>
        <v>N/A</v>
      </c>
      <c r="I66" s="311" t="str">
        <f t="shared" si="12"/>
        <v>N/A</v>
      </c>
      <c r="J66" s="299">
        <f t="shared" si="12"/>
        <v>0</v>
      </c>
      <c r="K66" s="311">
        <f t="shared" si="12"/>
        <v>0.03673769287288753</v>
      </c>
      <c r="L66" s="311">
        <f t="shared" si="12"/>
        <v>0.18654280692945013</v>
      </c>
      <c r="M66" s="311">
        <f t="shared" si="12"/>
        <v>0.14797430830039526</v>
      </c>
      <c r="N66" s="311">
        <f t="shared" si="12"/>
        <v>0.16594097726173196</v>
      </c>
      <c r="O66" s="299">
        <f t="shared" si="12"/>
        <v>0.13404726735598227</v>
      </c>
      <c r="P66" s="311">
        <f t="shared" si="12"/>
        <v>0.060713442003307305</v>
      </c>
      <c r="Q66" s="311">
        <f t="shared" si="12"/>
        <v>-0.022429115531104604</v>
      </c>
      <c r="R66" s="311">
        <f t="shared" si="12"/>
        <v>-0.06821605336776415</v>
      </c>
      <c r="S66" s="311">
        <f t="shared" si="12"/>
        <v>-0.12448132780082988</v>
      </c>
      <c r="T66" s="299">
        <f t="shared" si="12"/>
        <v>-0.04157169217410184</v>
      </c>
      <c r="U66" s="298">
        <f>IF(Case_Scenario="Bull",U67,IF(Case_Scenario="Base",U68,IF(Case_Scenario="bear",U69,"N/A")))</f>
        <v>0.032</v>
      </c>
      <c r="V66" s="298">
        <f>IF(Case_Scenario="Bull",V67,IF(Case_Scenario="Base",V68,IF(Case_Scenario="bear",V69,"N/A")))</f>
        <v>0.035</v>
      </c>
      <c r="W66" s="298">
        <f>IF(Case_Scenario="Bull",W67,IF(Case_Scenario="Base",W68,IF(Case_Scenario="bear",W69,"N/A")))</f>
        <v>0.037</v>
      </c>
      <c r="X66" s="298">
        <f>IF(Case_Scenario="Bull",X67,IF(Case_Scenario="Base",X68,IF(Case_Scenario="bear",X69,"N/A")))</f>
        <v>0.048</v>
      </c>
      <c r="Y66" s="299"/>
      <c r="Z66" s="298">
        <f>IF(Case_Scenario="Bull",Z67,IF(Case_Scenario="Base",Z68,IF(Case_Scenario="bear",Z69,"N/A")))</f>
        <v>0.056</v>
      </c>
      <c r="AA66" s="298">
        <f>IF(Case_Scenario="Bull",AA67,IF(Case_Scenario="Base",AA68,IF(Case_Scenario="bear",AA69,"N/A")))</f>
        <v>0.051</v>
      </c>
      <c r="AB66" s="298">
        <f>IF(Case_Scenario="Bull",AB67,IF(Case_Scenario="Base",AB68,IF(Case_Scenario="bear",AB69,"N/A")))</f>
        <v>0.049</v>
      </c>
      <c r="AC66" s="298">
        <f>IF(Case_Scenario="Bull",AC67,IF(Case_Scenario="Base",AC68,IF(Case_Scenario="bear",AC69,"N/A")))</f>
        <v>0.049</v>
      </c>
      <c r="AD66" s="299"/>
      <c r="AE66" s="299">
        <f>IF(Case_Scenario="Bull",AE67,IF(Case_Scenario="Base",AE68,IF(Case_Scenario="bear",AE69,"N/A")))</f>
        <v>0.051</v>
      </c>
      <c r="AF66" s="299">
        <f>IF(Case_Scenario="Bull",AF67,IF(Case_Scenario="Base",AF68,IF(Case_Scenario="bear",AF69,"N/A")))</f>
        <v>0.056</v>
      </c>
      <c r="AG66" s="299">
        <f>IF(Case_Scenario="Bull",AG67,IF(Case_Scenario="Base",AG68,IF(Case_Scenario="bear",AG69,"N/A")))</f>
        <v>0.07</v>
      </c>
      <c r="AH66" s="8"/>
      <c r="AI66" s="8"/>
      <c r="AJ66" s="8"/>
    </row>
    <row r="67" ht="12.75" customHeight="1" spans="1:36" x14ac:dyDescent="0.25">
      <c r="A67" s="8"/>
      <c r="B67" s="8"/>
      <c r="C67" s="130" t="s">
        <v>249</v>
      </c>
      <c r="D67" s="8"/>
      <c r="E67" s="8"/>
      <c r="F67" s="312"/>
      <c r="G67" s="312"/>
      <c r="H67" s="312"/>
      <c r="I67" s="312"/>
      <c r="J67" s="160"/>
      <c r="K67" s="312"/>
      <c r="L67" s="312"/>
      <c r="M67" s="312"/>
      <c r="N67" s="312"/>
      <c r="O67" s="160"/>
      <c r="P67" s="312"/>
      <c r="Q67" s="312"/>
      <c r="R67" s="312"/>
      <c r="S67" s="312"/>
      <c r="T67" s="160"/>
      <c r="U67" s="313">
        <f>U68+0.012</f>
        <v>0.044</v>
      </c>
      <c r="V67" s="313">
        <f>V68+0.012</f>
        <v>0.047</v>
      </c>
      <c r="W67" s="313">
        <f>W68+0.012</f>
        <v>0.049</v>
      </c>
      <c r="X67" s="313">
        <f>X68+0.012</f>
        <v>0.06</v>
      </c>
      <c r="Y67" s="314"/>
      <c r="Z67" s="313">
        <f>Z68+0.012</f>
        <v>0.068</v>
      </c>
      <c r="AA67" s="313">
        <f>AA68+0.012</f>
        <v>0.063</v>
      </c>
      <c r="AB67" s="313">
        <f>AB68+0.012</f>
        <v>0.061</v>
      </c>
      <c r="AC67" s="313">
        <f>AC68+0.012</f>
        <v>0.061</v>
      </c>
      <c r="AD67" s="314"/>
      <c r="AE67" s="314">
        <f>AE68+0.012</f>
        <v>0.063</v>
      </c>
      <c r="AF67" s="314">
        <f>AF68+0.012</f>
        <v>0.068</v>
      </c>
      <c r="AG67" s="314">
        <f>AG68+0.012</f>
        <v>0.082</v>
      </c>
      <c r="AH67" s="314">
        <v>0.145</v>
      </c>
      <c r="AI67" s="8"/>
      <c r="AJ67" s="8"/>
    </row>
    <row r="68" ht="12.75" customHeight="1" spans="1:36" x14ac:dyDescent="0.25">
      <c r="A68" s="8"/>
      <c r="B68" s="8"/>
      <c r="C68" s="130" t="s">
        <v>250</v>
      </c>
      <c r="D68" s="8"/>
      <c r="E68" s="8"/>
      <c r="F68" s="312"/>
      <c r="G68" s="312"/>
      <c r="H68" s="312"/>
      <c r="I68" s="312"/>
      <c r="J68" s="160"/>
      <c r="K68" s="312"/>
      <c r="L68" s="312"/>
      <c r="M68" s="312"/>
      <c r="N68" s="312"/>
      <c r="O68" s="160"/>
      <c r="P68" s="312"/>
      <c r="Q68" s="312"/>
      <c r="R68" s="312"/>
      <c r="S68" s="312"/>
      <c r="T68" s="160"/>
      <c r="U68" s="313">
        <v>0.032</v>
      </c>
      <c r="V68" s="313">
        <v>0.035</v>
      </c>
      <c r="W68" s="313">
        <v>0.037</v>
      </c>
      <c r="X68" s="313">
        <v>0.048</v>
      </c>
      <c r="Y68" s="314"/>
      <c r="Z68" s="313">
        <v>0.056</v>
      </c>
      <c r="AA68" s="313">
        <v>0.051</v>
      </c>
      <c r="AB68" s="313">
        <v>0.049</v>
      </c>
      <c r="AC68" s="313">
        <v>0.049</v>
      </c>
      <c r="AD68" s="314"/>
      <c r="AE68" s="314">
        <v>0.051</v>
      </c>
      <c r="AF68" s="314">
        <v>0.056</v>
      </c>
      <c r="AG68" s="314">
        <v>0.07</v>
      </c>
      <c r="AH68" s="8"/>
      <c r="AI68" s="8"/>
      <c r="AJ68" s="8"/>
    </row>
    <row r="69" ht="12.75" customHeight="1" spans="1:36" x14ac:dyDescent="0.25">
      <c r="A69" s="8"/>
      <c r="B69" s="8"/>
      <c r="C69" s="130" t="s">
        <v>251</v>
      </c>
      <c r="D69" s="8"/>
      <c r="E69" s="8"/>
      <c r="F69" s="312"/>
      <c r="G69" s="312"/>
      <c r="H69" s="312"/>
      <c r="I69" s="312"/>
      <c r="J69" s="160"/>
      <c r="K69" s="312"/>
      <c r="L69" s="312"/>
      <c r="M69" s="312"/>
      <c r="N69" s="312"/>
      <c r="O69" s="160"/>
      <c r="P69" s="312"/>
      <c r="Q69" s="312"/>
      <c r="R69" s="312"/>
      <c r="S69" s="312"/>
      <c r="T69" s="160"/>
      <c r="U69" s="313">
        <f>U68-1.3%</f>
        <v>0.019</v>
      </c>
      <c r="V69" s="313">
        <f>V68-1.3%</f>
        <v>0.022000000000000002</v>
      </c>
      <c r="W69" s="313">
        <f>W68-1.3%</f>
        <v>0.023999999999999997</v>
      </c>
      <c r="X69" s="313">
        <f>X68-1.3%</f>
        <v>0.035</v>
      </c>
      <c r="Y69" s="314"/>
      <c r="Z69" s="313">
        <f>Z68-1.3%</f>
        <v>0.043</v>
      </c>
      <c r="AA69" s="313">
        <f>AA68-1.3%</f>
        <v>0.03799999999999999</v>
      </c>
      <c r="AB69" s="313">
        <f>AB68-1.3%</f>
        <v>0.036000000000000004</v>
      </c>
      <c r="AC69" s="313">
        <f>AC68-1.3%</f>
        <v>0.036000000000000004</v>
      </c>
      <c r="AD69" s="314"/>
      <c r="AE69" s="314">
        <f>AE68-1.3%</f>
        <v>0.03799999999999999</v>
      </c>
      <c r="AF69" s="314">
        <f>AF68-1.3%</f>
        <v>0.043</v>
      </c>
      <c r="AG69" s="314">
        <f>AG68-1.3%</f>
        <v>0.05700000000000001</v>
      </c>
      <c r="AH69" s="8"/>
      <c r="AI69" s="8"/>
      <c r="AJ69" s="8"/>
    </row>
    <row r="70" ht="12.75" customHeight="1" spans="1:36" x14ac:dyDescent="0.25">
      <c r="A70" s="8"/>
      <c r="B70" s="8"/>
      <c r="C70" s="8"/>
      <c r="D70" s="8"/>
      <c r="E70" s="8"/>
      <c r="F70" s="312"/>
      <c r="G70" s="312"/>
      <c r="H70" s="312"/>
      <c r="I70" s="312"/>
      <c r="J70" s="160"/>
      <c r="K70" s="312"/>
      <c r="L70" s="312"/>
      <c r="M70" s="312"/>
      <c r="N70" s="312"/>
      <c r="O70" s="160"/>
      <c r="P70" s="312"/>
      <c r="Q70" s="312"/>
      <c r="R70" s="312"/>
      <c r="S70" s="312"/>
      <c r="T70" s="160"/>
      <c r="U70" s="315"/>
      <c r="V70" s="315"/>
      <c r="W70" s="315"/>
      <c r="X70" s="315"/>
      <c r="Y70" s="160"/>
      <c r="Z70" s="315"/>
      <c r="AA70" s="315"/>
      <c r="AB70" s="315"/>
      <c r="AC70" s="315"/>
      <c r="AD70" s="160"/>
      <c r="AE70" s="160"/>
      <c r="AF70" s="160"/>
      <c r="AG70" s="160"/>
      <c r="AH70" s="8"/>
      <c r="AI70" s="8"/>
      <c r="AJ70" s="8"/>
    </row>
    <row r="71" ht="12.75" customHeight="1" spans="1:36" x14ac:dyDescent="0.25">
      <c r="A71" s="257" t="s">
        <v>3</v>
      </c>
      <c r="B71" s="8"/>
      <c r="C71" s="130" t="str">
        <f>C41</f>
        <v>Transfer Revenue</v>
      </c>
      <c r="D71" s="8"/>
      <c r="E71" s="8"/>
      <c r="F71" s="310">
        <f t="shared" ref="F71:T71" si="13">F41</f>
        <v>173.3</v>
      </c>
      <c r="G71" s="310">
        <f t="shared" si="13"/>
        <v>197.3</v>
      </c>
      <c r="H71" s="310">
        <f t="shared" si="13"/>
        <v>206.2</v>
      </c>
      <c r="I71" s="310">
        <f t="shared" si="13"/>
        <v>188.2</v>
      </c>
      <c r="J71" s="280">
        <f t="shared" si="13"/>
        <v>765</v>
      </c>
      <c r="K71" s="310">
        <f t="shared" si="13"/>
        <v>182.8</v>
      </c>
      <c r="L71" s="310">
        <f t="shared" si="13"/>
        <v>208.2</v>
      </c>
      <c r="M71" s="310">
        <f t="shared" si="13"/>
        <v>211.6</v>
      </c>
      <c r="N71" s="310">
        <f t="shared" si="13"/>
        <v>203</v>
      </c>
      <c r="O71" s="280">
        <f t="shared" si="13"/>
        <v>805.6</v>
      </c>
      <c r="P71" s="310">
        <f t="shared" si="13"/>
        <v>188</v>
      </c>
      <c r="Q71" s="310">
        <f t="shared" si="13"/>
        <v>221</v>
      </c>
      <c r="R71" s="310">
        <f t="shared" si="13"/>
        <v>224</v>
      </c>
      <c r="S71" s="310">
        <f t="shared" si="13"/>
        <v>214</v>
      </c>
      <c r="T71" s="280">
        <f t="shared" si="13"/>
        <v>847</v>
      </c>
      <c r="U71" s="279">
        <f>IF($C$25="Quarterly",S71*(1+U72),P71*(1+U72))</f>
        <v>196.45999999999998</v>
      </c>
      <c r="V71" s="279">
        <f>IF($C$25="Quarterly",U71*(1+V72),Q71*(1+V72))</f>
        <v>230.72400000000002</v>
      </c>
      <c r="W71" s="279">
        <f>IF($C$25="Quarterly",V71*(1+W72),R71*(1+W72))</f>
        <v>233.856</v>
      </c>
      <c r="X71" s="279">
        <f>IF($C$25="Quarterly",W71*(1+X72),S71*(1+X72))</f>
        <v>224.486</v>
      </c>
      <c r="Y71" s="280">
        <f>SUM(U71:X71)</f>
        <v>885.526</v>
      </c>
      <c r="Z71" s="279">
        <f>IF($C$25="Quarterly",X71*(1+Z72),U71*(1+Z72))</f>
        <v>207.46176</v>
      </c>
      <c r="AA71" s="279">
        <f>IF($C$25="Quarterly",Z71*(1+AA72),V71*(1+AA72))</f>
        <v>242.72164800000002</v>
      </c>
      <c r="AB71" s="279">
        <f>IF($C$25="Quarterly",AA71*(1+AB72),W71*(1+AB72))</f>
        <v>245.31494399999997</v>
      </c>
      <c r="AC71" s="279">
        <f>IF($C$25="Quarterly",AB71*(1+AC72),X71*(1+AC72))</f>
        <v>235.48581399999998</v>
      </c>
      <c r="AD71" s="280">
        <f>SUM(Z71:AC71)</f>
        <v>930.984166</v>
      </c>
      <c r="AE71" s="280">
        <f>AD71*(1+AE72)</f>
        <v>971.947469304</v>
      </c>
      <c r="AF71" s="280">
        <f>AE71*(1+AF72)</f>
        <v>1021.516790238504</v>
      </c>
      <c r="AG71" s="280">
        <f>AF71*(1+AG72)</f>
        <v>1050.119260365182</v>
      </c>
      <c r="AH71" s="8"/>
      <c r="AI71" s="8"/>
      <c r="AJ71" s="8"/>
    </row>
    <row r="72" ht="12.75" customHeight="1" spans="1:36" x14ac:dyDescent="0.25">
      <c r="A72" s="8"/>
      <c r="B72" s="8"/>
      <c r="C72" s="111" t="str">
        <f>IF($C$25="Quarterly","% Growth QoQ","% Growth YoY")</f>
        <v>% Growth YoY</v>
      </c>
      <c r="D72" s="8"/>
      <c r="E72" s="8"/>
      <c r="F72" s="312"/>
      <c r="G72" s="311" t="str">
        <f t="shared" ref="G72:T72" si="14">G42</f>
        <v>N/A</v>
      </c>
      <c r="H72" s="311" t="str">
        <f t="shared" si="14"/>
        <v>N/A</v>
      </c>
      <c r="I72" s="311" t="str">
        <f t="shared" si="14"/>
        <v>N/A</v>
      </c>
      <c r="J72" s="299">
        <f t="shared" si="14"/>
        <v>0</v>
      </c>
      <c r="K72" s="311">
        <f t="shared" si="14"/>
        <v>0.05481823427582233</v>
      </c>
      <c r="L72" s="311">
        <f t="shared" si="14"/>
        <v>0.05524581855043076</v>
      </c>
      <c r="M72" s="311">
        <f t="shared" si="14"/>
        <v>0.026188166828322146</v>
      </c>
      <c r="N72" s="311">
        <f t="shared" si="14"/>
        <v>0.07863974495217851</v>
      </c>
      <c r="O72" s="299">
        <f t="shared" si="14"/>
        <v>0.05307189542483659</v>
      </c>
      <c r="P72" s="311">
        <f t="shared" si="14"/>
        <v>0.02844638949671774</v>
      </c>
      <c r="Q72" s="311">
        <f t="shared" si="14"/>
        <v>0.06147934678194056</v>
      </c>
      <c r="R72" s="311">
        <f t="shared" si="14"/>
        <v>0.05860113421550106</v>
      </c>
      <c r="S72" s="311">
        <f t="shared" si="14"/>
        <v>0.054187192118226646</v>
      </c>
      <c r="T72" s="299">
        <f t="shared" si="14"/>
        <v>0.05139026812313796</v>
      </c>
      <c r="U72" s="298">
        <f>IF(Case_Scenario="Bull",U73,IF(Case_Scenario="Base",U74,IF(Case_Scenario="bear",U75,"N/A")))</f>
        <v>0.045</v>
      </c>
      <c r="V72" s="298">
        <f>IF(Case_Scenario="Bull",V73,IF(Case_Scenario="Base",V74,IF(Case_Scenario="bear",V75,"N/A")))</f>
        <v>0.044</v>
      </c>
      <c r="W72" s="298">
        <f>IF(Case_Scenario="Bull",W73,IF(Case_Scenario="Base",W74,IF(Case_Scenario="bear",W75,"N/A")))</f>
        <v>0.044</v>
      </c>
      <c r="X72" s="298">
        <f>IF(Case_Scenario="Bull",X73,IF(Case_Scenario="Base",X74,IF(Case_Scenario="bear",X75,"N/A")))</f>
        <v>0.049</v>
      </c>
      <c r="Y72" s="299"/>
      <c r="Z72" s="298">
        <f>IF(Case_Scenario="Bull",Z73,IF(Case_Scenario="Base",Z74,IF(Case_Scenario="bear",Z75,"N/A")))</f>
        <v>0.056</v>
      </c>
      <c r="AA72" s="298">
        <f>IF(Case_Scenario="Bull",AA73,IF(Case_Scenario="Base",AA74,IF(Case_Scenario="bear",AA75,"N/A")))</f>
        <v>0.052</v>
      </c>
      <c r="AB72" s="298">
        <f>IF(Case_Scenario="Bull",AB73,IF(Case_Scenario="Base",AB74,IF(Case_Scenario="bear",AB75,"N/A")))</f>
        <v>0.049</v>
      </c>
      <c r="AC72" s="298">
        <f>IF(Case_Scenario="Bull",AC73,IF(Case_Scenario="Base",AC74,IF(Case_Scenario="bear",AC75,"N/A")))</f>
        <v>0.049</v>
      </c>
      <c r="AD72" s="299"/>
      <c r="AE72" s="299">
        <f>IF(Case_Scenario="Bull",AE73,IF(Case_Scenario="Base",AE74,IF(Case_Scenario="bear",AE75,"N/A")))</f>
        <v>0.044</v>
      </c>
      <c r="AF72" s="299">
        <f>IF(Case_Scenario="Bull",AF73,IF(Case_Scenario="Base",AF74,IF(Case_Scenario="bear",AF75,"N/A")))</f>
        <v>0.051</v>
      </c>
      <c r="AG72" s="299">
        <f>IF(Case_Scenario="Bull",AG73,IF(Case_Scenario="Base",AG74,IF(Case_Scenario="bear",AG75,"N/A")))</f>
        <v>0.028</v>
      </c>
      <c r="AH72" s="8"/>
      <c r="AI72" s="8"/>
      <c r="AJ72" s="8"/>
    </row>
    <row r="73" ht="12.75" customHeight="1" spans="1:36" x14ac:dyDescent="0.25">
      <c r="A73" s="8"/>
      <c r="B73" s="8"/>
      <c r="C73" s="130" t="s">
        <v>249</v>
      </c>
      <c r="D73" s="8"/>
      <c r="E73" s="8"/>
      <c r="F73" s="312"/>
      <c r="G73" s="312"/>
      <c r="H73" s="312"/>
      <c r="I73" s="312"/>
      <c r="J73" s="160"/>
      <c r="K73" s="312"/>
      <c r="L73" s="312"/>
      <c r="M73" s="312"/>
      <c r="N73" s="312"/>
      <c r="O73" s="160"/>
      <c r="P73" s="312"/>
      <c r="Q73" s="312"/>
      <c r="R73" s="312"/>
      <c r="S73" s="312"/>
      <c r="T73" s="160"/>
      <c r="U73" s="313">
        <f>U74+0.005</f>
        <v>0.049999999999999996</v>
      </c>
      <c r="V73" s="313">
        <f>V74+0.005</f>
        <v>0.048999999999999995</v>
      </c>
      <c r="W73" s="313">
        <f>W74+0.005</f>
        <v>0.048999999999999995</v>
      </c>
      <c r="X73" s="313">
        <f>X74+0.005</f>
        <v>0.054</v>
      </c>
      <c r="Y73" s="314"/>
      <c r="Z73" s="313">
        <f>Z74+0.005</f>
        <v>0.061</v>
      </c>
      <c r="AA73" s="313">
        <f>AA74+0.005</f>
        <v>0.056999999999999995</v>
      </c>
      <c r="AB73" s="313">
        <f>AB74+0.005</f>
        <v>0.054</v>
      </c>
      <c r="AC73" s="313">
        <f>AC74+0.005</f>
        <v>0.054</v>
      </c>
      <c r="AD73" s="314"/>
      <c r="AE73" s="314">
        <f>AE74+0.005</f>
        <v>0.048999999999999995</v>
      </c>
      <c r="AF73" s="314">
        <f>AF74+0.005</f>
        <v>0.055999999999999994</v>
      </c>
      <c r="AG73" s="314">
        <f>AG74+0.005</f>
        <v>0.033</v>
      </c>
      <c r="AH73" s="8"/>
      <c r="AI73" s="8"/>
      <c r="AJ73" s="8"/>
    </row>
    <row r="74" ht="12.75" customHeight="1" spans="1:36" x14ac:dyDescent="0.25">
      <c r="A74" s="8"/>
      <c r="B74" s="8"/>
      <c r="C74" s="130" t="s">
        <v>250</v>
      </c>
      <c r="D74" s="8"/>
      <c r="E74" s="8"/>
      <c r="F74" s="312"/>
      <c r="G74" s="312"/>
      <c r="H74" s="312"/>
      <c r="I74" s="312"/>
      <c r="J74" s="160"/>
      <c r="K74" s="312"/>
      <c r="L74" s="312"/>
      <c r="M74" s="312"/>
      <c r="N74" s="312"/>
      <c r="O74" s="160"/>
      <c r="P74" s="312"/>
      <c r="Q74" s="312"/>
      <c r="R74" s="312"/>
      <c r="S74" s="312"/>
      <c r="T74" s="160"/>
      <c r="U74" s="313">
        <v>0.045</v>
      </c>
      <c r="V74" s="313">
        <v>0.044</v>
      </c>
      <c r="W74" s="313">
        <v>0.044</v>
      </c>
      <c r="X74" s="313">
        <v>0.049</v>
      </c>
      <c r="Y74" s="314"/>
      <c r="Z74" s="313">
        <v>0.056</v>
      </c>
      <c r="AA74" s="313">
        <v>0.052</v>
      </c>
      <c r="AB74" s="313">
        <v>0.049</v>
      </c>
      <c r="AC74" s="313">
        <v>0.049</v>
      </c>
      <c r="AD74" s="314"/>
      <c r="AE74" s="314">
        <v>0.044</v>
      </c>
      <c r="AF74" s="314">
        <v>0.051</v>
      </c>
      <c r="AG74" s="314">
        <v>0.028</v>
      </c>
      <c r="AH74" s="8"/>
      <c r="AI74" s="8"/>
      <c r="AJ74" s="8"/>
    </row>
    <row r="75" ht="12.75" customHeight="1" spans="1:36" x14ac:dyDescent="0.25">
      <c r="A75" s="8"/>
      <c r="B75" s="8"/>
      <c r="C75" s="130" t="s">
        <v>251</v>
      </c>
      <c r="D75" s="8"/>
      <c r="E75" s="8"/>
      <c r="F75" s="312"/>
      <c r="G75" s="312"/>
      <c r="H75" s="312"/>
      <c r="I75" s="312"/>
      <c r="J75" s="160"/>
      <c r="K75" s="312"/>
      <c r="L75" s="312"/>
      <c r="M75" s="312"/>
      <c r="N75" s="312"/>
      <c r="O75" s="160"/>
      <c r="P75" s="312"/>
      <c r="Q75" s="312"/>
      <c r="R75" s="312"/>
      <c r="S75" s="312"/>
      <c r="T75" s="160"/>
      <c r="U75" s="313">
        <f>U74-1.3%</f>
        <v>0.032</v>
      </c>
      <c r="V75" s="313">
        <f>V74-1.3%</f>
        <v>0.030999999999999996</v>
      </c>
      <c r="W75" s="313">
        <f>W74-1.3%</f>
        <v>0.030999999999999996</v>
      </c>
      <c r="X75" s="313">
        <f>X74-1.3%</f>
        <v>0.036000000000000004</v>
      </c>
      <c r="Y75" s="314"/>
      <c r="Z75" s="313">
        <f>Z74-1.3%</f>
        <v>0.043</v>
      </c>
      <c r="AA75" s="313">
        <f>AA74-1.3%</f>
        <v>0.03899999999999999</v>
      </c>
      <c r="AB75" s="313">
        <f>AB74-1.3%</f>
        <v>0.036000000000000004</v>
      </c>
      <c r="AC75" s="313">
        <f>AC74-1.3%</f>
        <v>0.036000000000000004</v>
      </c>
      <c r="AD75" s="314"/>
      <c r="AE75" s="314">
        <f>AE74-1.3%</f>
        <v>0.030999999999999996</v>
      </c>
      <c r="AF75" s="314">
        <f>AF74-1.3%</f>
        <v>0.03799999999999999</v>
      </c>
      <c r="AG75" s="314">
        <f>AG74-1.3%</f>
        <v>0.015</v>
      </c>
      <c r="AH75" s="8"/>
      <c r="AI75" s="8"/>
      <c r="AJ75" s="8"/>
    </row>
    <row r="76" ht="12.75" customHeight="1" spans="1:36" x14ac:dyDescent="0.25">
      <c r="A76" s="8"/>
      <c r="B76" s="8"/>
      <c r="C76" s="8"/>
      <c r="D76" s="8"/>
      <c r="E76" s="8"/>
      <c r="F76" s="312"/>
      <c r="G76" s="312"/>
      <c r="H76" s="312"/>
      <c r="I76" s="312"/>
      <c r="J76" s="160"/>
      <c r="K76" s="312"/>
      <c r="L76" s="312"/>
      <c r="M76" s="312"/>
      <c r="N76" s="312"/>
      <c r="O76" s="160"/>
      <c r="P76" s="312"/>
      <c r="Q76" s="312"/>
      <c r="R76" s="312"/>
      <c r="S76" s="312"/>
      <c r="T76" s="160"/>
      <c r="U76" s="315"/>
      <c r="V76" s="315"/>
      <c r="W76" s="315"/>
      <c r="X76" s="315"/>
      <c r="Y76" s="160"/>
      <c r="Z76" s="315"/>
      <c r="AA76" s="315"/>
      <c r="AB76" s="315"/>
      <c r="AC76" s="315"/>
      <c r="AD76" s="160"/>
      <c r="AE76" s="160"/>
      <c r="AF76" s="160"/>
      <c r="AG76" s="160"/>
      <c r="AH76" s="8"/>
      <c r="AI76" s="8"/>
      <c r="AJ76" s="8"/>
    </row>
    <row r="77" ht="12.75" customHeight="1" spans="1:36" x14ac:dyDescent="0.25">
      <c r="A77" s="257" t="s">
        <v>3</v>
      </c>
      <c r="B77" s="8"/>
      <c r="C77" s="130" t="str">
        <f>C44</f>
        <v>Other Revenue</v>
      </c>
      <c r="D77" s="8"/>
      <c r="E77" s="8"/>
      <c r="F77" s="310">
        <f t="shared" ref="F77:T77" si="15">F44</f>
        <v>148.5</v>
      </c>
      <c r="G77" s="310">
        <f t="shared" si="15"/>
        <v>156.3</v>
      </c>
      <c r="H77" s="310">
        <f t="shared" si="15"/>
        <v>162.1</v>
      </c>
      <c r="I77" s="310">
        <f t="shared" si="15"/>
        <v>175.4</v>
      </c>
      <c r="J77" s="280">
        <f t="shared" si="15"/>
        <v>642.3</v>
      </c>
      <c r="K77" s="310">
        <f t="shared" si="15"/>
        <v>188.4</v>
      </c>
      <c r="L77" s="310">
        <f t="shared" si="15"/>
        <v>204.2</v>
      </c>
      <c r="M77" s="310">
        <f t="shared" si="15"/>
        <v>205.3</v>
      </c>
      <c r="N77" s="310">
        <f t="shared" si="15"/>
        <v>190</v>
      </c>
      <c r="O77" s="280">
        <f t="shared" si="15"/>
        <v>787.9000000000001</v>
      </c>
      <c r="P77" s="310">
        <f t="shared" si="15"/>
        <v>208</v>
      </c>
      <c r="Q77" s="310">
        <f t="shared" si="15"/>
        <v>214</v>
      </c>
      <c r="R77" s="310">
        <f t="shared" si="15"/>
        <v>204</v>
      </c>
      <c r="S77" s="310">
        <f t="shared" si="15"/>
        <v>200</v>
      </c>
      <c r="T77" s="280">
        <f t="shared" si="15"/>
        <v>826</v>
      </c>
      <c r="U77" s="279">
        <f>IF($C$25="Quarterly",S77*(1+U78),P77*(1+U78))</f>
        <v>211.95199999999997</v>
      </c>
      <c r="V77" s="279">
        <f>IF($C$25="Quarterly",U77*(1+V78),Q77*(1+V78))</f>
        <v>218.92199999999997</v>
      </c>
      <c r="W77" s="279">
        <f>IF($C$25="Quarterly",V77*(1+W78),R77*(1+W78))</f>
        <v>209.1</v>
      </c>
      <c r="X77" s="279">
        <f>IF($C$25="Quarterly",W77*(1+X78),S77*(1+X78))</f>
        <v>200</v>
      </c>
      <c r="Y77" s="280">
        <f>SUM(U77:X77)</f>
        <v>839.9739999999999</v>
      </c>
      <c r="Z77" s="279">
        <f>IF($C$25="Quarterly",X77*(1+Z78),U77*(1+Z78))</f>
        <v>218.31055999999998</v>
      </c>
      <c r="AA77" s="279">
        <f>IF($C$25="Quarterly",Z77*(1+AA78),V77*(1+AA78))</f>
        <v>225.70858199999995</v>
      </c>
      <c r="AB77" s="279">
        <f>IF($C$25="Quarterly",AA77*(1+AB78),W77*(1+AB78))</f>
        <v>216.2094</v>
      </c>
      <c r="AC77" s="279">
        <f>IF($C$25="Quarterly",AB77*(1+AC78),X77*(1+AC78))</f>
        <v>206.8</v>
      </c>
      <c r="AD77" s="280">
        <f>SUM(Z77:AC77)</f>
        <v>867.028542</v>
      </c>
      <c r="AE77" s="280">
        <f>AD77*(1+AE78)</f>
        <v>894.773455344</v>
      </c>
      <c r="AF77" s="280">
        <f>AE77*(1+AF78)</f>
        <v>915.3532448169119</v>
      </c>
      <c r="AG77" s="280">
        <f>AF77*(1+AG78)</f>
        <v>974.8512057300111</v>
      </c>
      <c r="AH77" s="8"/>
      <c r="AI77" s="8"/>
      <c r="AJ77" s="8"/>
    </row>
    <row r="78" ht="12.75" customHeight="1" spans="1:36" x14ac:dyDescent="0.25">
      <c r="A78" s="8"/>
      <c r="B78" s="8"/>
      <c r="C78" s="111" t="str">
        <f>IF($C$25="Quarterly","% Growth QoQ","% Growth YoY")</f>
        <v>% Growth YoY</v>
      </c>
      <c r="D78" s="8"/>
      <c r="E78" s="8"/>
      <c r="F78" s="312"/>
      <c r="G78" s="311" t="str">
        <f t="shared" ref="G78:T78" si="16">G45</f>
        <v>N/A</v>
      </c>
      <c r="H78" s="311" t="str">
        <f t="shared" si="16"/>
        <v>N/A</v>
      </c>
      <c r="I78" s="311" t="str">
        <f t="shared" si="16"/>
        <v>N/A</v>
      </c>
      <c r="J78" s="299">
        <f t="shared" si="16"/>
        <v>0</v>
      </c>
      <c r="K78" s="311">
        <f t="shared" si="16"/>
        <v>0.26868686868686864</v>
      </c>
      <c r="L78" s="311">
        <f t="shared" si="16"/>
        <v>0.3064619321817017</v>
      </c>
      <c r="M78" s="311">
        <f t="shared" si="16"/>
        <v>0.26650215916101194</v>
      </c>
      <c r="N78" s="311">
        <f t="shared" si="16"/>
        <v>0.08323831242873436</v>
      </c>
      <c r="O78" s="299">
        <f t="shared" si="16"/>
        <v>0.2266853495251442</v>
      </c>
      <c r="P78" s="311">
        <f t="shared" si="16"/>
        <v>0.10403397027600847</v>
      </c>
      <c r="Q78" s="311">
        <f t="shared" si="16"/>
        <v>0.04799216454456423</v>
      </c>
      <c r="R78" s="311">
        <f t="shared" si="16"/>
        <v>-0.006332196785192479</v>
      </c>
      <c r="S78" s="311">
        <f t="shared" si="16"/>
        <v>0.05263157894736836</v>
      </c>
      <c r="T78" s="299">
        <f t="shared" si="16"/>
        <v>0.048356390404873606</v>
      </c>
      <c r="U78" s="298">
        <f>IF(Case_Scenario="Bull",U79,IF(Case_Scenario="Base",U80,IF(Case_Scenario="bear",U81,"N/A")))</f>
        <v>0.019</v>
      </c>
      <c r="V78" s="298">
        <f>IF(Case_Scenario="Bull",V79,IF(Case_Scenario="Base",V80,IF(Case_Scenario="bear",V81,"N/A")))</f>
        <v>0.023</v>
      </c>
      <c r="W78" s="298">
        <f>IF(Case_Scenario="Bull",W79,IF(Case_Scenario="Base",W80,IF(Case_Scenario="bear",W81,"N/A")))</f>
        <v>0.025</v>
      </c>
      <c r="X78" s="298">
        <f>IF(Case_Scenario="Bull",X79,IF(Case_Scenario="Base",X80,IF(Case_Scenario="bear",X81,"N/A")))</f>
        <v>0</v>
      </c>
      <c r="Y78" s="299"/>
      <c r="Z78" s="298">
        <f>IF(Case_Scenario="Bull",Z79,IF(Case_Scenario="Base",Z80,IF(Case_Scenario="bear",Z81,"N/A")))</f>
        <v>0.03</v>
      </c>
      <c r="AA78" s="298">
        <f>IF(Case_Scenario="Bull",AA79,IF(Case_Scenario="Base",AA80,IF(Case_Scenario="bear",AA81,"N/A")))</f>
        <v>0.031</v>
      </c>
      <c r="AB78" s="298">
        <f>IF(Case_Scenario="Bull",AB79,IF(Case_Scenario="Base",AB80,IF(Case_Scenario="bear",AB81,"N/A")))</f>
        <v>0.034</v>
      </c>
      <c r="AC78" s="298">
        <f>IF(Case_Scenario="Bull",AC79,IF(Case_Scenario="Base",AC80,IF(Case_Scenario="bear",AC81,"N/A")))</f>
        <v>0.034</v>
      </c>
      <c r="AD78" s="299"/>
      <c r="AE78" s="299">
        <f>IF(Case_Scenario="Bull",AE79,IF(Case_Scenario="Base",AE80,IF(Case_Scenario="bear",AE81,"N/A")))</f>
        <v>0.032</v>
      </c>
      <c r="AF78" s="299">
        <f>IF(Case_Scenario="Bull",AF79,IF(Case_Scenario="Base",AF80,IF(Case_Scenario="bear",AF81,"N/A")))</f>
        <v>0.023</v>
      </c>
      <c r="AG78" s="299">
        <f>IF(Case_Scenario="Bull",AG79,IF(Case_Scenario="Base",AG80,IF(Case_Scenario="bear",AG81,"N/A")))</f>
        <v>0.065</v>
      </c>
      <c r="AH78" s="8"/>
      <c r="AI78" s="8"/>
      <c r="AJ78" s="8"/>
    </row>
    <row r="79" ht="12.75" customHeight="1" spans="1:36" x14ac:dyDescent="0.25">
      <c r="A79" s="8"/>
      <c r="B79" s="8"/>
      <c r="C79" s="130" t="s">
        <v>249</v>
      </c>
      <c r="D79" s="8"/>
      <c r="E79" s="8"/>
      <c r="F79" s="312"/>
      <c r="G79" s="312"/>
      <c r="H79" s="312"/>
      <c r="I79" s="312"/>
      <c r="J79" s="160"/>
      <c r="K79" s="312"/>
      <c r="L79" s="312"/>
      <c r="M79" s="312"/>
      <c r="N79" s="312"/>
      <c r="O79" s="160"/>
      <c r="P79" s="312"/>
      <c r="Q79" s="312"/>
      <c r="R79" s="312"/>
      <c r="S79" s="312"/>
      <c r="T79" s="160"/>
      <c r="U79" s="313">
        <f>U80+0.012</f>
        <v>0.031</v>
      </c>
      <c r="V79" s="313">
        <f>V80+0.012</f>
        <v>0.035</v>
      </c>
      <c r="W79" s="313">
        <f>W80+0.012</f>
        <v>0.037000000000000005</v>
      </c>
      <c r="X79" s="313">
        <f>X80+0.012</f>
        <v>0.012</v>
      </c>
      <c r="Y79" s="314"/>
      <c r="Z79" s="313">
        <f>Z80+0.012</f>
        <v>0.041999999999999996</v>
      </c>
      <c r="AA79" s="313">
        <f>AA80+0.012</f>
        <v>0.043</v>
      </c>
      <c r="AB79" s="313">
        <f>AB80+0.012</f>
        <v>0.046</v>
      </c>
      <c r="AC79" s="313">
        <f>AC80+0.012</f>
        <v>0.046</v>
      </c>
      <c r="AD79" s="314"/>
      <c r="AE79" s="314">
        <f>AE80+0.012</f>
        <v>0.044</v>
      </c>
      <c r="AF79" s="314">
        <f>AF80+0.012</f>
        <v>0.035</v>
      </c>
      <c r="AG79" s="314">
        <f>AG80+0.012</f>
        <v>0.077</v>
      </c>
      <c r="AH79" s="8"/>
      <c r="AI79" s="8"/>
      <c r="AJ79" s="8"/>
    </row>
    <row r="80" ht="12.75" customHeight="1" spans="1:36" x14ac:dyDescent="0.25">
      <c r="A80" s="8"/>
      <c r="B80" s="8"/>
      <c r="C80" s="130" t="s">
        <v>250</v>
      </c>
      <c r="D80" s="8"/>
      <c r="E80" s="8"/>
      <c r="F80" s="312"/>
      <c r="G80" s="312"/>
      <c r="H80" s="312"/>
      <c r="I80" s="312"/>
      <c r="J80" s="160"/>
      <c r="K80" s="312"/>
      <c r="L80" s="312"/>
      <c r="M80" s="312"/>
      <c r="N80" s="312"/>
      <c r="O80" s="160"/>
      <c r="P80" s="312"/>
      <c r="Q80" s="312"/>
      <c r="R80" s="312"/>
      <c r="S80" s="312"/>
      <c r="T80" s="160"/>
      <c r="U80" s="313">
        <v>0.019</v>
      </c>
      <c r="V80" s="313">
        <v>0.023</v>
      </c>
      <c r="W80" s="313">
        <v>0.025</v>
      </c>
      <c r="X80" s="313">
        <v>0</v>
      </c>
      <c r="Y80" s="314"/>
      <c r="Z80" s="313">
        <v>0.03</v>
      </c>
      <c r="AA80" s="313">
        <v>0.031</v>
      </c>
      <c r="AB80" s="313">
        <v>0.034</v>
      </c>
      <c r="AC80" s="313">
        <v>0.034</v>
      </c>
      <c r="AD80" s="314"/>
      <c r="AE80" s="314">
        <v>0.032</v>
      </c>
      <c r="AF80" s="314">
        <v>0.023</v>
      </c>
      <c r="AG80" s="314">
        <v>0.065</v>
      </c>
      <c r="AH80" s="8"/>
      <c r="AI80" s="8"/>
      <c r="AJ80" s="8"/>
    </row>
    <row r="81" ht="12.75" customHeight="1" spans="1:36" x14ac:dyDescent="0.25">
      <c r="A81" s="8"/>
      <c r="B81" s="8"/>
      <c r="C81" s="130" t="s">
        <v>251</v>
      </c>
      <c r="D81" s="8"/>
      <c r="E81" s="8"/>
      <c r="F81" s="312"/>
      <c r="G81" s="312"/>
      <c r="H81" s="312"/>
      <c r="I81" s="312"/>
      <c r="J81" s="160"/>
      <c r="K81" s="312"/>
      <c r="L81" s="312"/>
      <c r="M81" s="312"/>
      <c r="N81" s="312"/>
      <c r="O81" s="160"/>
      <c r="P81" s="312"/>
      <c r="Q81" s="312"/>
      <c r="R81" s="312"/>
      <c r="S81" s="312"/>
      <c r="T81" s="160"/>
      <c r="U81" s="313">
        <f>U80-1.3%</f>
        <v>0.005999999999999998</v>
      </c>
      <c r="V81" s="313">
        <f>V80-1.3%</f>
        <v>0.009999999999999998</v>
      </c>
      <c r="W81" s="313">
        <f>W80-1.3%</f>
        <v>0.012</v>
      </c>
      <c r="X81" s="313">
        <f>X80-1.3%</f>
        <v>-0.013000000000000001</v>
      </c>
      <c r="Y81" s="314"/>
      <c r="Z81" s="313">
        <f>Z80-1.3%</f>
        <v>0.016999999999999998</v>
      </c>
      <c r="AA81" s="313">
        <f>AA80-1.3%</f>
        <v>0.018</v>
      </c>
      <c r="AB81" s="313">
        <f>AB80-1.3%</f>
        <v>0.021</v>
      </c>
      <c r="AC81" s="313">
        <f>AC80-1.3%</f>
        <v>0.021</v>
      </c>
      <c r="AD81" s="314"/>
      <c r="AE81" s="314">
        <f>AE80-1.3%</f>
        <v>0.019</v>
      </c>
      <c r="AF81" s="314">
        <f>AF80-1.3%</f>
        <v>0.009999999999999998</v>
      </c>
      <c r="AG81" s="314">
        <f>AG80-1.3%</f>
        <v>0.052000000000000005</v>
      </c>
      <c r="AH81" s="8"/>
      <c r="AI81" s="8"/>
      <c r="AJ81" s="8"/>
    </row>
    <row r="82" ht="12.75" customHeight="1" spans="1:36" x14ac:dyDescent="0.25">
      <c r="A82" s="8"/>
      <c r="B82" s="8"/>
      <c r="C82" s="8"/>
      <c r="D82" s="8"/>
      <c r="E82" s="8"/>
      <c r="F82" s="312"/>
      <c r="G82" s="312"/>
      <c r="H82" s="312"/>
      <c r="I82" s="312"/>
      <c r="J82" s="160"/>
      <c r="K82" s="312"/>
      <c r="L82" s="312"/>
      <c r="M82" s="312"/>
      <c r="N82" s="312"/>
      <c r="O82" s="160"/>
      <c r="P82" s="312"/>
      <c r="Q82" s="312"/>
      <c r="R82" s="312"/>
      <c r="S82" s="312"/>
      <c r="T82" s="160"/>
      <c r="U82" s="315"/>
      <c r="V82" s="315"/>
      <c r="W82" s="315"/>
      <c r="X82" s="315"/>
      <c r="Y82" s="160"/>
      <c r="Z82" s="315"/>
      <c r="AA82" s="315"/>
      <c r="AB82" s="315"/>
      <c r="AC82" s="315"/>
      <c r="AD82" s="160"/>
      <c r="AE82" s="160"/>
      <c r="AF82" s="160"/>
      <c r="AG82" s="160"/>
      <c r="AH82" s="8"/>
      <c r="AI82" s="8"/>
      <c r="AJ82" s="8"/>
    </row>
    <row r="83" ht="12.75" customHeight="1" spans="1:36" x14ac:dyDescent="0.25">
      <c r="A83" s="257" t="s">
        <v>3</v>
      </c>
      <c r="B83" s="8"/>
      <c r="C83" s="130" t="str">
        <f>C47</f>
        <v>Professional Services and Other Revenue</v>
      </c>
      <c r="D83" s="8"/>
      <c r="E83" s="8"/>
      <c r="F83" s="310">
        <f t="shared" ref="F83:T83" si="17">F47</f>
        <v>0</v>
      </c>
      <c r="G83" s="310">
        <f t="shared" si="17"/>
        <v>0</v>
      </c>
      <c r="H83" s="310">
        <f t="shared" si="17"/>
        <v>0</v>
      </c>
      <c r="I83" s="310">
        <f t="shared" si="17"/>
        <v>0</v>
      </c>
      <c r="J83" s="280">
        <f t="shared" si="17"/>
        <v>0</v>
      </c>
      <c r="K83" s="310">
        <f t="shared" si="17"/>
        <v>0</v>
      </c>
      <c r="L83" s="310">
        <f t="shared" si="17"/>
        <v>0</v>
      </c>
      <c r="M83" s="310">
        <f t="shared" si="17"/>
        <v>0</v>
      </c>
      <c r="N83" s="310">
        <f t="shared" si="17"/>
        <v>0</v>
      </c>
      <c r="O83" s="280">
        <f t="shared" si="17"/>
        <v>0</v>
      </c>
      <c r="P83" s="310">
        <f t="shared" si="17"/>
        <v>0</v>
      </c>
      <c r="Q83" s="310">
        <f t="shared" si="17"/>
        <v>0</v>
      </c>
      <c r="R83" s="310">
        <f t="shared" si="17"/>
        <v>0</v>
      </c>
      <c r="S83" s="310">
        <f t="shared" si="17"/>
        <v>0</v>
      </c>
      <c r="T83" s="280">
        <f t="shared" si="17"/>
        <v>0</v>
      </c>
      <c r="U83" s="279">
        <f>IF($C$25="Quarterly",S83*(1+U84),P83*(1+U84))</f>
        <v>0</v>
      </c>
      <c r="V83" s="279">
        <f>IF($C$25="Quarterly",U83*(1+V84),Q83*(1+V84))</f>
        <v>0</v>
      </c>
      <c r="W83" s="279">
        <f>IF($C$25="Quarterly",V83*(1+W84),R83*(1+W84))</f>
        <v>0</v>
      </c>
      <c r="X83" s="279">
        <f>IF($C$25="Quarterly",W83*(1+X84),S83*(1+X84))</f>
        <v>0</v>
      </c>
      <c r="Y83" s="280">
        <f>SUM(U83:X83)</f>
        <v>0</v>
      </c>
      <c r="Z83" s="279">
        <f>IF($C$25="Quarterly",X83*(1+Z84),U83*(1+Z84))</f>
        <v>0</v>
      </c>
      <c r="AA83" s="279">
        <f>IF($C$25="Quarterly",Z83*(1+AA84),V83*(1+AA84))</f>
        <v>0</v>
      </c>
      <c r="AB83" s="279">
        <f>IF($C$25="Quarterly",AA83*(1+AB84),W83*(1+AB84))</f>
        <v>0</v>
      </c>
      <c r="AC83" s="279">
        <f>IF($C$25="Quarterly",AB83*(1+AC84),X83*(1+AC84))</f>
        <v>0</v>
      </c>
      <c r="AD83" s="280">
        <f>SUM(Z83:AC83)</f>
        <v>0</v>
      </c>
      <c r="AE83" s="280">
        <f>AD83*(1+AE84)</f>
        <v>0</v>
      </c>
      <c r="AF83" s="280">
        <f>AE83*(1+AF84)</f>
        <v>0</v>
      </c>
      <c r="AG83" s="280">
        <f>AF83*(1+AG84)</f>
        <v>0</v>
      </c>
      <c r="AH83" s="8"/>
      <c r="AI83" s="8"/>
      <c r="AJ83" s="8"/>
    </row>
    <row r="84" ht="12.75" customHeight="1" spans="1:36" x14ac:dyDescent="0.25">
      <c r="A84" s="8"/>
      <c r="B84" s="8"/>
      <c r="C84" s="111" t="str">
        <f>IF($C$25="Quarterly","% Growth QoQ","% Growth YoY")</f>
        <v>% Growth YoY</v>
      </c>
      <c r="D84" s="8"/>
      <c r="E84" s="8"/>
      <c r="F84" s="312"/>
      <c r="G84" s="311" t="str">
        <f t="shared" ref="G84:T84" si="18">G48</f>
        <v>N/A</v>
      </c>
      <c r="H84" s="311" t="str">
        <f t="shared" si="18"/>
        <v>N/A</v>
      </c>
      <c r="I84" s="311" t="str">
        <f t="shared" si="18"/>
        <v>N/A</v>
      </c>
      <c r="J84" s="299">
        <f t="shared" si="18"/>
        <v>0</v>
      </c>
      <c r="K84" s="311" t="str">
        <f t="shared" si="18"/>
        <v>N/A</v>
      </c>
      <c r="L84" s="311" t="str">
        <f t="shared" si="18"/>
        <v>N/A</v>
      </c>
      <c r="M84" s="311" t="str">
        <f t="shared" si="18"/>
        <v>N/A</v>
      </c>
      <c r="N84" s="311" t="str">
        <f t="shared" si="18"/>
        <v>N/A</v>
      </c>
      <c r="O84" s="299">
        <f t="shared" si="18"/>
        <v>0</v>
      </c>
      <c r="P84" s="311" t="str">
        <f t="shared" si="18"/>
        <v>N/A</v>
      </c>
      <c r="Q84" s="311" t="str">
        <f t="shared" si="18"/>
        <v>N/A</v>
      </c>
      <c r="R84" s="311" t="str">
        <f t="shared" si="18"/>
        <v>N/A</v>
      </c>
      <c r="S84" s="311" t="str">
        <f t="shared" si="18"/>
        <v>N/A</v>
      </c>
      <c r="T84" s="299">
        <f t="shared" si="18"/>
        <v>0</v>
      </c>
      <c r="U84" s="298">
        <f>IF(Case_Scenario="Bull",U85,IF(Case_Scenario="Base",U86,IF(Case_Scenario="bear",U87,"N/A")))</f>
        <v>0</v>
      </c>
      <c r="V84" s="298">
        <f>IF(Case_Scenario="Bull",V85,IF(Case_Scenario="Base",V86,IF(Case_Scenario="bear",V87,"N/A")))</f>
        <v>0</v>
      </c>
      <c r="W84" s="298">
        <f>IF(Case_Scenario="Bull",W85,IF(Case_Scenario="Base",W86,IF(Case_Scenario="bear",W87,"N/A")))</f>
        <v>0</v>
      </c>
      <c r="X84" s="298">
        <f>IF(Case_Scenario="Bull",X85,IF(Case_Scenario="Base",X86,IF(Case_Scenario="bear",X87,"N/A")))</f>
        <v>0</v>
      </c>
      <c r="Y84" s="299"/>
      <c r="Z84" s="298">
        <f>IF(Case_Scenario="Bull",Z85,IF(Case_Scenario="Base",Z86,IF(Case_Scenario="bear",Z87,"N/A")))</f>
        <v>0</v>
      </c>
      <c r="AA84" s="298">
        <f>IF(Case_Scenario="Bull",AA85,IF(Case_Scenario="Base",AA86,IF(Case_Scenario="bear",AA87,"N/A")))</f>
        <v>0</v>
      </c>
      <c r="AB84" s="298">
        <f>IF(Case_Scenario="Bull",AB85,IF(Case_Scenario="Base",AB86,IF(Case_Scenario="bear",AB87,"N/A")))</f>
        <v>0</v>
      </c>
      <c r="AC84" s="298">
        <f>IF(Case_Scenario="Bull",AC85,IF(Case_Scenario="Base",AC86,IF(Case_Scenario="bear",AC87,"N/A")))</f>
        <v>0</v>
      </c>
      <c r="AD84" s="299"/>
      <c r="AE84" s="299">
        <f>IF(Case_Scenario="Bull",AE85,IF(Case_Scenario="Base",AE86,IF(Case_Scenario="bear",AE87,"N/A")))</f>
        <v>0</v>
      </c>
      <c r="AF84" s="299">
        <f>IF(Case_Scenario="Bull",AF85,IF(Case_Scenario="Base",AF86,IF(Case_Scenario="bear",AF87,"N/A")))</f>
        <v>0</v>
      </c>
      <c r="AG84" s="299">
        <f>IF(Case_Scenario="Bull",AG85,IF(Case_Scenario="Base",AG86,IF(Case_Scenario="bear",AG87,"N/A")))</f>
        <v>0</v>
      </c>
      <c r="AH84" s="8"/>
      <c r="AI84" s="8"/>
      <c r="AJ84" s="8"/>
    </row>
    <row r="85" ht="12.75" customHeight="1" spans="1:36" x14ac:dyDescent="0.25">
      <c r="A85" s="8"/>
      <c r="B85" s="8"/>
      <c r="C85" s="130" t="s">
        <v>249</v>
      </c>
      <c r="D85" s="8"/>
      <c r="E85" s="8"/>
      <c r="F85" s="312"/>
      <c r="G85" s="312"/>
      <c r="H85" s="312"/>
      <c r="I85" s="312"/>
      <c r="J85" s="160"/>
      <c r="K85" s="312"/>
      <c r="L85" s="312"/>
      <c r="M85" s="312"/>
      <c r="N85" s="312"/>
      <c r="O85" s="160"/>
      <c r="P85" s="312"/>
      <c r="Q85" s="312"/>
      <c r="R85" s="312"/>
      <c r="S85" s="312"/>
      <c r="T85" s="160"/>
      <c r="U85" s="313">
        <f>S85</f>
        <v>0</v>
      </c>
      <c r="V85" s="313">
        <f t="shared" ref="V85:W87" si="19">U85</f>
        <v>0</v>
      </c>
      <c r="W85" s="313">
        <f t="shared" si="19"/>
        <v>0</v>
      </c>
      <c r="X85" s="313">
        <f>W85</f>
        <v>0</v>
      </c>
      <c r="Y85" s="314"/>
      <c r="Z85" s="313">
        <f>X85</f>
        <v>0</v>
      </c>
      <c r="AA85" s="313">
        <f t="shared" ref="AA85:AC87" si="20">Z85</f>
        <v>0</v>
      </c>
      <c r="AB85" s="313">
        <f t="shared" si="20"/>
        <v>0</v>
      </c>
      <c r="AC85" s="313">
        <f t="shared" si="20"/>
        <v>0</v>
      </c>
      <c r="AD85" s="314"/>
      <c r="AE85" s="314">
        <f>AC85</f>
        <v>0</v>
      </c>
      <c r="AF85" s="314">
        <f t="shared" ref="AF85:AG87" si="21">AE85</f>
        <v>0</v>
      </c>
      <c r="AG85" s="314">
        <f t="shared" si="21"/>
        <v>0</v>
      </c>
      <c r="AH85" s="8"/>
      <c r="AI85" s="8"/>
      <c r="AJ85" s="8"/>
    </row>
    <row r="86" ht="12.75" customHeight="1" spans="1:36" x14ac:dyDescent="0.25">
      <c r="A86" s="8"/>
      <c r="B86" s="8"/>
      <c r="C86" s="130" t="s">
        <v>250</v>
      </c>
      <c r="D86" s="8"/>
      <c r="E86" s="8"/>
      <c r="F86" s="312"/>
      <c r="G86" s="312"/>
      <c r="H86" s="312"/>
      <c r="I86" s="312"/>
      <c r="J86" s="160"/>
      <c r="K86" s="312"/>
      <c r="L86" s="312"/>
      <c r="M86" s="312"/>
      <c r="N86" s="312"/>
      <c r="O86" s="160"/>
      <c r="P86" s="312"/>
      <c r="Q86" s="312"/>
      <c r="R86" s="312"/>
      <c r="S86" s="312"/>
      <c r="T86" s="160"/>
      <c r="U86" s="313">
        <f>S86</f>
        <v>0</v>
      </c>
      <c r="V86" s="313">
        <f t="shared" si="19"/>
        <v>0</v>
      </c>
      <c r="W86" s="313">
        <f t="shared" si="19"/>
        <v>0</v>
      </c>
      <c r="X86" s="313">
        <f>W86</f>
        <v>0</v>
      </c>
      <c r="Y86" s="314"/>
      <c r="Z86" s="313">
        <f>X86</f>
        <v>0</v>
      </c>
      <c r="AA86" s="313">
        <f t="shared" si="20"/>
        <v>0</v>
      </c>
      <c r="AB86" s="313">
        <f t="shared" si="20"/>
        <v>0</v>
      </c>
      <c r="AC86" s="313">
        <f t="shared" si="20"/>
        <v>0</v>
      </c>
      <c r="AD86" s="314"/>
      <c r="AE86" s="314">
        <f>AC86</f>
        <v>0</v>
      </c>
      <c r="AF86" s="314">
        <f t="shared" si="21"/>
        <v>0</v>
      </c>
      <c r="AG86" s="314">
        <f t="shared" si="21"/>
        <v>0</v>
      </c>
      <c r="AH86" s="8"/>
      <c r="AI86" s="8"/>
      <c r="AJ86" s="8"/>
    </row>
    <row r="87" ht="12.75" customHeight="1" spans="1:36" x14ac:dyDescent="0.25">
      <c r="A87" s="8"/>
      <c r="B87" s="8"/>
      <c r="C87" s="130" t="s">
        <v>251</v>
      </c>
      <c r="D87" s="8"/>
      <c r="E87" s="8"/>
      <c r="F87" s="312"/>
      <c r="G87" s="312"/>
      <c r="H87" s="312"/>
      <c r="I87" s="312"/>
      <c r="J87" s="160"/>
      <c r="K87" s="312"/>
      <c r="L87" s="312"/>
      <c r="M87" s="312"/>
      <c r="N87" s="312"/>
      <c r="O87" s="160"/>
      <c r="P87" s="312"/>
      <c r="Q87" s="312"/>
      <c r="R87" s="312"/>
      <c r="S87" s="312"/>
      <c r="T87" s="160"/>
      <c r="U87" s="313">
        <f>S87</f>
        <v>0</v>
      </c>
      <c r="V87" s="313">
        <f t="shared" si="19"/>
        <v>0</v>
      </c>
      <c r="W87" s="313">
        <f t="shared" si="19"/>
        <v>0</v>
      </c>
      <c r="X87" s="313">
        <f>W87</f>
        <v>0</v>
      </c>
      <c r="Y87" s="314"/>
      <c r="Z87" s="313">
        <f>X87</f>
        <v>0</v>
      </c>
      <c r="AA87" s="313">
        <f t="shared" si="20"/>
        <v>0</v>
      </c>
      <c r="AB87" s="313">
        <f t="shared" si="20"/>
        <v>0</v>
      </c>
      <c r="AC87" s="313">
        <f t="shared" si="20"/>
        <v>0</v>
      </c>
      <c r="AD87" s="314"/>
      <c r="AE87" s="314">
        <f>AC87</f>
        <v>0</v>
      </c>
      <c r="AF87" s="314">
        <f t="shared" si="21"/>
        <v>0</v>
      </c>
      <c r="AG87" s="314">
        <f t="shared" si="21"/>
        <v>0</v>
      </c>
      <c r="AH87" s="8"/>
      <c r="AI87" s="8"/>
      <c r="AJ87" s="8"/>
    </row>
    <row r="88" ht="12.75" customHeight="1" spans="1:36" x14ac:dyDescent="0.25">
      <c r="A88" s="8"/>
      <c r="B88" s="8"/>
      <c r="C88" s="8"/>
      <c r="D88" s="8"/>
      <c r="E88" s="8"/>
      <c r="F88" s="312"/>
      <c r="G88" s="312"/>
      <c r="H88" s="312"/>
      <c r="I88" s="312"/>
      <c r="J88" s="160"/>
      <c r="K88" s="312"/>
      <c r="L88" s="312"/>
      <c r="M88" s="312"/>
      <c r="N88" s="312"/>
      <c r="O88" s="160"/>
      <c r="P88" s="312"/>
      <c r="Q88" s="312"/>
      <c r="R88" s="312"/>
      <c r="S88" s="312"/>
      <c r="T88" s="160"/>
      <c r="U88" s="315"/>
      <c r="V88" s="315"/>
      <c r="W88" s="315"/>
      <c r="X88" s="315"/>
      <c r="Y88" s="160"/>
      <c r="Z88" s="315"/>
      <c r="AA88" s="315"/>
      <c r="AB88" s="315"/>
      <c r="AC88" s="315"/>
      <c r="AD88" s="160"/>
      <c r="AE88" s="160"/>
      <c r="AF88" s="160"/>
      <c r="AG88" s="160"/>
      <c r="AH88" s="8"/>
      <c r="AI88" s="8"/>
      <c r="AJ88" s="8"/>
    </row>
    <row r="89" ht="12.75" customHeight="1" spans="1:36" x14ac:dyDescent="0.25">
      <c r="A89" s="257" t="s">
        <v>3</v>
      </c>
      <c r="B89" s="8"/>
      <c r="C89" s="53" t="s">
        <v>252</v>
      </c>
      <c r="D89" s="11"/>
      <c r="E89" s="11"/>
      <c r="F89" s="306" t="str">
        <f t="shared" ref="F89:AG89" si="22">F$28</f>
        <v>1Q23</v>
      </c>
      <c r="G89" s="306" t="str">
        <f t="shared" si="22"/>
        <v>2Q23</v>
      </c>
      <c r="H89" s="306" t="str">
        <f t="shared" si="22"/>
        <v>3Q23</v>
      </c>
      <c r="I89" s="306" t="str">
        <f t="shared" si="22"/>
        <v>4Q23</v>
      </c>
      <c r="J89" s="306">
        <f t="shared" si="22"/>
        <v>2023</v>
      </c>
      <c r="K89" s="306" t="str">
        <f t="shared" si="22"/>
        <v>1Q24</v>
      </c>
      <c r="L89" s="306" t="str">
        <f t="shared" si="22"/>
        <v>2Q24</v>
      </c>
      <c r="M89" s="306" t="str">
        <f t="shared" si="22"/>
        <v>3Q24</v>
      </c>
      <c r="N89" s="306" t="str">
        <f t="shared" si="22"/>
        <v>4Q24</v>
      </c>
      <c r="O89" s="306">
        <f t="shared" si="22"/>
        <v>2024</v>
      </c>
      <c r="P89" s="306" t="str">
        <f t="shared" si="22"/>
        <v>1Q25</v>
      </c>
      <c r="Q89" s="306" t="str">
        <f t="shared" si="22"/>
        <v>2Q25</v>
      </c>
      <c r="R89" s="306" t="str">
        <f t="shared" si="22"/>
        <v>3Q25</v>
      </c>
      <c r="S89" s="306" t="str">
        <f t="shared" si="22"/>
        <v>4Q25</v>
      </c>
      <c r="T89" s="306">
        <f t="shared" si="22"/>
        <v>2025</v>
      </c>
      <c r="U89" s="306" t="str">
        <f t="shared" si="22"/>
        <v>1Q26e</v>
      </c>
      <c r="V89" s="306" t="str">
        <f t="shared" si="22"/>
        <v>2Q26e</v>
      </c>
      <c r="W89" s="306" t="str">
        <f t="shared" si="22"/>
        <v>3Q26</v>
      </c>
      <c r="X89" s="306" t="str">
        <f t="shared" si="22"/>
        <v>4Q26e</v>
      </c>
      <c r="Y89" s="306" t="str">
        <f t="shared" si="22"/>
        <v>2026e</v>
      </c>
      <c r="Z89" s="306" t="str">
        <f t="shared" si="22"/>
        <v>1Q27e</v>
      </c>
      <c r="AA89" s="306" t="str">
        <f t="shared" si="22"/>
        <v>2Q27e</v>
      </c>
      <c r="AB89" s="306" t="str">
        <f t="shared" si="22"/>
        <v>3Q27e</v>
      </c>
      <c r="AC89" s="306" t="str">
        <f t="shared" si="22"/>
        <v>4Q27e</v>
      </c>
      <c r="AD89" s="306" t="str">
        <f t="shared" si="22"/>
        <v>2027e</v>
      </c>
      <c r="AE89" s="306" t="str">
        <f t="shared" si="22"/>
        <v>2028e</v>
      </c>
      <c r="AF89" s="306" t="str">
        <f t="shared" si="22"/>
        <v>2029e</v>
      </c>
      <c r="AG89" s="307" t="str">
        <f t="shared" si="22"/>
        <v>2030e</v>
      </c>
      <c r="AH89" s="270"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spans="1:36" x14ac:dyDescent="0.25" outlineLevel="1" collapsed="1">
      <c r="A91" s="257"/>
      <c r="B91" s="8"/>
      <c r="C91" s="130" t="str">
        <f>C32</f>
        <v>Collection Revenue</v>
      </c>
      <c r="D91" s="8"/>
      <c r="E91" s="160"/>
      <c r="F91" s="310">
        <f t="shared" ref="F91:T91" si="23">F32</f>
        <v>2458.4</v>
      </c>
      <c r="G91" s="310">
        <f t="shared" si="23"/>
        <v>2543</v>
      </c>
      <c r="H91" s="310">
        <f t="shared" si="23"/>
        <v>2616.5</v>
      </c>
      <c r="I91" s="310">
        <f t="shared" si="23"/>
        <v>2635</v>
      </c>
      <c r="J91" s="280">
        <f t="shared" si="23"/>
        <v>10252.9</v>
      </c>
      <c r="K91" s="310">
        <f t="shared" si="23"/>
        <v>2662.8</v>
      </c>
      <c r="L91" s="310">
        <f t="shared" si="23"/>
        <v>2722.8</v>
      </c>
      <c r="M91" s="310">
        <f t="shared" si="23"/>
        <v>2741.8</v>
      </c>
      <c r="N91" s="310">
        <f t="shared" si="23"/>
        <v>2728</v>
      </c>
      <c r="O91" s="280">
        <f t="shared" si="23"/>
        <v>10855.400000000001</v>
      </c>
      <c r="P91" s="310">
        <f t="shared" si="23"/>
        <v>2743</v>
      </c>
      <c r="Q91" s="310">
        <f t="shared" si="23"/>
        <v>2822</v>
      </c>
      <c r="R91" s="310">
        <f t="shared" si="23"/>
        <v>2835</v>
      </c>
      <c r="S91" s="310">
        <f t="shared" si="23"/>
        <v>2833</v>
      </c>
      <c r="T91" s="280">
        <f t="shared" si="23"/>
        <v>11233</v>
      </c>
      <c r="U91" s="279">
        <f>U92*U97</f>
        <v>2974.65</v>
      </c>
      <c r="V91" s="279">
        <f>V92*V97</f>
        <v>3279.551625</v>
      </c>
      <c r="W91" s="279">
        <f>W92*W97</f>
        <v>3615.7056665625005</v>
      </c>
      <c r="X91" s="279">
        <f>X92*X97</f>
        <v>3615.7056665625005</v>
      </c>
      <c r="Y91" s="280">
        <f>SUM(U91:X91)</f>
        <v>13485.612958125</v>
      </c>
      <c r="Z91" s="279">
        <f>Z92*Z97</f>
        <v>3796.4909498906254</v>
      </c>
      <c r="AA91" s="279">
        <f>AA92*AA97</f>
        <v>4185.631272254414</v>
      </c>
      <c r="AB91" s="279">
        <f>AB92*AB97</f>
        <v>4614.658477660492</v>
      </c>
      <c r="AC91" s="279">
        <f>AC92*AC97</f>
        <v>5087.660971620693</v>
      </c>
      <c r="AD91" s="280">
        <f>SUM(Z91:AC91)</f>
        <v>17684.441671426226</v>
      </c>
      <c r="AE91" s="280">
        <f>AE92*AE97</f>
        <v>19497.096942747416</v>
      </c>
      <c r="AF91" s="280">
        <f>AF92*AF97</f>
        <v>21495.549379379027</v>
      </c>
      <c r="AG91" s="280">
        <f>AG92*AG97</f>
        <v>23698.84319076538</v>
      </c>
      <c r="AH91" s="8"/>
      <c r="AI91" s="8"/>
      <c r="AJ91" s="8"/>
    </row>
    <row r="92" ht="12.75" customHeight="1" spans="1:36" x14ac:dyDescent="0.25" outlineLevel="1" collapsed="1">
      <c r="A92" s="8"/>
      <c r="B92" s="8"/>
      <c r="C92" s="130" t="s">
        <v>253</v>
      </c>
      <c r="D92" s="8"/>
      <c r="E92" s="160"/>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220</v>
      </c>
      <c r="V92" s="322">
        <f>U92*(1+V93)</f>
        <v>231</v>
      </c>
      <c r="W92" s="322">
        <f>V92*(1+W93)</f>
        <v>242.55</v>
      </c>
      <c r="X92" s="322">
        <f>W92*(1+X93)</f>
        <v>242.55</v>
      </c>
      <c r="Y92" s="321">
        <f>SUM(U92:X92)</f>
        <v>936.0999999999999</v>
      </c>
      <c r="Z92" s="322">
        <f>X92*(1+Z93)</f>
        <v>242.55</v>
      </c>
      <c r="AA92" s="322">
        <f>Z92*(1+AA93)</f>
        <v>254.6775</v>
      </c>
      <c r="AB92" s="322">
        <f>AA92*(1+AB93)</f>
        <v>267.411375</v>
      </c>
      <c r="AC92" s="322">
        <f>AB92*(1+AC93)</f>
        <v>280.78194375000004</v>
      </c>
      <c r="AD92" s="321">
        <f>SUM(Z92:AC92)</f>
        <v>1045.42081875</v>
      </c>
      <c r="AE92" s="321">
        <f>AD92*(1+AE93)</f>
        <v>1097.6918596875</v>
      </c>
      <c r="AF92" s="321">
        <f>AE92*(1+AF93)</f>
        <v>1152.5764526718751</v>
      </c>
      <c r="AG92" s="321">
        <f>AF92*(1+AG93)</f>
        <v>1210.2052753054688</v>
      </c>
      <c r="AH92" s="8"/>
      <c r="AI92" s="8"/>
      <c r="AJ92" s="8"/>
    </row>
    <row r="93" ht="12.75" customHeight="1" spans="1:36" x14ac:dyDescent="0.25" outlineLevel="1" collapsed="1">
      <c r="A93" s="8"/>
      <c r="B93" s="8"/>
      <c r="C93" s="111" t="s">
        <v>254</v>
      </c>
      <c r="D93" s="8"/>
      <c r="E93" s="160"/>
      <c r="F93" s="312"/>
      <c r="G93" s="311">
        <f>IFERROR(G92/F92-1,"--")</f>
        <v>0</v>
      </c>
      <c r="H93" s="311">
        <f>IFERROR(H92/G92-1,"--")</f>
        <v>0</v>
      </c>
      <c r="I93" s="311">
        <f>IFERROR(I92/H92-1,"--")</f>
        <v>0</v>
      </c>
      <c r="J93" s="160"/>
      <c r="K93" s="311">
        <f>IFERROR(K92/I92-1,"--")</f>
        <v>0</v>
      </c>
      <c r="L93" s="311">
        <f>IFERROR(L92/K92-1,"--")</f>
        <v>0</v>
      </c>
      <c r="M93" s="311">
        <f>IFERROR(M92/L92-1,"--")</f>
        <v>0</v>
      </c>
      <c r="N93" s="311">
        <f>IFERROR(N92/M92-1,"--")</f>
        <v>0</v>
      </c>
      <c r="O93" s="299">
        <f>IFERROR(O92/J92-1,"--")</f>
        <v>0</v>
      </c>
      <c r="P93" s="311">
        <f>IFERROR(P92/N92-1,"--")</f>
        <v>0</v>
      </c>
      <c r="Q93" s="311">
        <f>IFERROR(Q92/P92-1,"--")</f>
        <v>0</v>
      </c>
      <c r="R93" s="311">
        <f>IFERROR(R92/Q92-1,"--")</f>
        <v>0</v>
      </c>
      <c r="S93" s="311">
        <f>IFERROR(S92/R92-1,"--")</f>
        <v>0</v>
      </c>
      <c r="T93" s="299">
        <f>IFERROR(T92/O92-1,"--")</f>
        <v>0</v>
      </c>
      <c r="U93" s="298">
        <f>IF(Case_Scenario="Bull",U94,IF(Case_Scenario="Base",U95,IF(Case_Scenario="bear",U96,"N/A")))</f>
        <v>0</v>
      </c>
      <c r="V93" s="298">
        <f>IF(Case_Scenario="Bull",V94,IF(Case_Scenario="Base",V95,IF(Case_Scenario="bear",V96,"N/A")))</f>
        <v>0.05</v>
      </c>
      <c r="W93" s="298">
        <f>IF(Case_Scenario="Bull",W94,IF(Case_Scenario="Base",W95,IF(Case_Scenario="bear",W96,"N/A")))</f>
        <v>0.05</v>
      </c>
      <c r="X93" s="298">
        <f>IF(Case_Scenario="Bull",X94,IF(Case_Scenario="Base",X95,IF(Case_Scenario="bear",X96,"N/A")))</f>
        <v>0</v>
      </c>
      <c r="Y93" s="299"/>
      <c r="Z93" s="298">
        <f>IF(Case_Scenario="Bull",Z94,IF(Case_Scenario="Base",Z95,IF(Case_Scenario="bear",Z96,"N/A")))</f>
        <v>0</v>
      </c>
      <c r="AA93" s="298">
        <f>IF(Case_Scenario="Bull",AA94,IF(Case_Scenario="Base",AA95,IF(Case_Scenario="bear",AA96,"N/A")))</f>
        <v>0.05</v>
      </c>
      <c r="AB93" s="298">
        <f>IF(Case_Scenario="Bull",AB94,IF(Case_Scenario="Base",AB95,IF(Case_Scenario="bear",AB96,"N/A")))</f>
        <v>0.05</v>
      </c>
      <c r="AC93" s="298">
        <f>IF(Case_Scenario="Bull",AC94,IF(Case_Scenario="Base",AC95,IF(Case_Scenario="bear",AC96,"N/A")))</f>
        <v>0.05</v>
      </c>
      <c r="AD93" s="299"/>
      <c r="AE93" s="299">
        <f>IF(Case_Scenario="Bull",AE94,IF(Case_Scenario="Base",AE95,IF(Case_Scenario="bear",AE96,"N/A")))</f>
        <v>0.05</v>
      </c>
      <c r="AF93" s="299">
        <f>IF(Case_Scenario="Bull",AF94,IF(Case_Scenario="Base",AF95,IF(Case_Scenario="bear",AF96,"N/A")))</f>
        <v>0.05</v>
      </c>
      <c r="AG93" s="299">
        <f>IF(Case_Scenario="Bull",AG94,IF(Case_Scenario="Base",AG95,IF(Case_Scenario="bear",AG96,"N/A")))</f>
        <v>0.05</v>
      </c>
      <c r="AH93" s="8"/>
      <c r="AI93" s="8"/>
      <c r="AJ93" s="8"/>
    </row>
    <row r="94" ht="12.75" customHeight="1" spans="1:36" x14ac:dyDescent="0.25" outlineLevel="1" collapsed="1">
      <c r="A94" s="8"/>
      <c r="B94" s="8"/>
      <c r="C94" s="130" t="s">
        <v>249</v>
      </c>
      <c r="D94" s="8"/>
      <c r="E94" s="160"/>
      <c r="F94" s="312"/>
      <c r="G94" s="312"/>
      <c r="H94" s="312"/>
      <c r="I94" s="312"/>
      <c r="J94" s="160"/>
      <c r="K94" s="312"/>
      <c r="L94" s="312"/>
      <c r="M94" s="312"/>
      <c r="N94" s="312"/>
      <c r="O94" s="160"/>
      <c r="P94" s="312"/>
      <c r="Q94" s="312"/>
      <c r="R94" s="312"/>
      <c r="S94" s="312"/>
      <c r="T94" s="160"/>
      <c r="U94" s="313">
        <v>0.1</v>
      </c>
      <c r="V94" s="313">
        <v>0.1</v>
      </c>
      <c r="W94" s="313">
        <v>0.1</v>
      </c>
      <c r="X94" s="313">
        <v>0</v>
      </c>
      <c r="Y94" s="314"/>
      <c r="Z94" s="313">
        <v>0.1</v>
      </c>
      <c r="AA94" s="313">
        <v>0.1</v>
      </c>
      <c r="AB94" s="313">
        <v>0.1</v>
      </c>
      <c r="AC94" s="313">
        <v>0.1</v>
      </c>
      <c r="AD94" s="314"/>
      <c r="AE94" s="314">
        <v>0.1</v>
      </c>
      <c r="AF94" s="314">
        <v>0.1</v>
      </c>
      <c r="AG94" s="314">
        <v>0.1</v>
      </c>
      <c r="AH94" s="8"/>
      <c r="AI94" s="8"/>
      <c r="AJ94" s="8"/>
    </row>
    <row r="95" ht="12.75" customHeight="1" spans="1:36" x14ac:dyDescent="0.25" outlineLevel="1" collapsed="1">
      <c r="A95" s="8"/>
      <c r="B95" s="8"/>
      <c r="C95" s="130" t="s">
        <v>250</v>
      </c>
      <c r="D95" s="8"/>
      <c r="E95" s="160"/>
      <c r="F95" s="312"/>
      <c r="G95" s="312"/>
      <c r="H95" s="312"/>
      <c r="I95" s="312"/>
      <c r="J95" s="160"/>
      <c r="K95" s="312"/>
      <c r="L95" s="312"/>
      <c r="M95" s="312"/>
      <c r="N95" s="312"/>
      <c r="O95" s="160"/>
      <c r="P95" s="312"/>
      <c r="Q95" s="312"/>
      <c r="R95" s="312"/>
      <c r="S95" s="312"/>
      <c r="T95" s="160"/>
      <c r="U95" s="313">
        <v>0</v>
      </c>
      <c r="V95" s="313">
        <v>0.05</v>
      </c>
      <c r="W95" s="313">
        <v>0.05</v>
      </c>
      <c r="X95" s="313">
        <v>0</v>
      </c>
      <c r="Y95" s="314"/>
      <c r="Z95" s="313">
        <v>0</v>
      </c>
      <c r="AA95" s="313">
        <v>0.05</v>
      </c>
      <c r="AB95" s="313">
        <v>0.05</v>
      </c>
      <c r="AC95" s="313">
        <v>0.05</v>
      </c>
      <c r="AD95" s="314"/>
      <c r="AE95" s="314">
        <v>0.05</v>
      </c>
      <c r="AF95" s="314">
        <v>0.05</v>
      </c>
      <c r="AG95" s="314">
        <v>0.05</v>
      </c>
      <c r="AH95" s="8"/>
      <c r="AI95" s="8"/>
      <c r="AJ95" s="8"/>
    </row>
    <row r="96" ht="12.75" customHeight="1" spans="1:36" x14ac:dyDescent="0.25" outlineLevel="1" collapsed="1">
      <c r="A96" s="8"/>
      <c r="B96" s="8"/>
      <c r="C96" s="130" t="s">
        <v>251</v>
      </c>
      <c r="D96" s="8"/>
      <c r="E96" s="160"/>
      <c r="F96" s="312"/>
      <c r="G96" s="312"/>
      <c r="H96" s="312"/>
      <c r="I96" s="312"/>
      <c r="J96" s="160"/>
      <c r="K96" s="312"/>
      <c r="L96" s="312"/>
      <c r="M96" s="312"/>
      <c r="N96" s="312"/>
      <c r="O96" s="160"/>
      <c r="P96" s="312"/>
      <c r="Q96" s="312"/>
      <c r="R96" s="312"/>
      <c r="S96" s="312"/>
      <c r="T96" s="160"/>
      <c r="U96" s="313">
        <v>0</v>
      </c>
      <c r="V96" s="313">
        <v>0</v>
      </c>
      <c r="W96" s="313">
        <v>0</v>
      </c>
      <c r="X96" s="313">
        <v>0</v>
      </c>
      <c r="Y96" s="314"/>
      <c r="Z96" s="313">
        <v>0</v>
      </c>
      <c r="AA96" s="313">
        <v>0</v>
      </c>
      <c r="AB96" s="313">
        <v>0</v>
      </c>
      <c r="AC96" s="313">
        <v>0</v>
      </c>
      <c r="AD96" s="314"/>
      <c r="AE96" s="314">
        <v>0</v>
      </c>
      <c r="AF96" s="314">
        <v>0</v>
      </c>
      <c r="AG96" s="314">
        <v>0</v>
      </c>
      <c r="AH96" s="8"/>
      <c r="AI96" s="8"/>
      <c r="AJ96" s="8"/>
    </row>
    <row r="97" ht="12.75" customHeight="1" spans="1:36" x14ac:dyDescent="0.25" outlineLevel="1" collapsed="1">
      <c r="A97" s="8"/>
      <c r="B97" s="8"/>
      <c r="C97" s="130" t="s">
        <v>163</v>
      </c>
      <c r="D97" s="8"/>
      <c r="E97" s="160"/>
      <c r="F97" s="310">
        <f t="shared" ref="F97:T97" si="24">IFERROR(F91/F92,"--")</f>
        <v>11.174545454545456</v>
      </c>
      <c r="G97" s="310">
        <f t="shared" si="24"/>
        <v>11.559090909090909</v>
      </c>
      <c r="H97" s="310">
        <f t="shared" si="24"/>
        <v>11.893181818181818</v>
      </c>
      <c r="I97" s="310">
        <f t="shared" si="24"/>
        <v>11.977272727272727</v>
      </c>
      <c r="J97" s="280">
        <f t="shared" si="24"/>
        <v>11.651022727272727</v>
      </c>
      <c r="K97" s="310">
        <f t="shared" si="24"/>
        <v>12.103636363636365</v>
      </c>
      <c r="L97" s="310">
        <f t="shared" si="24"/>
        <v>12.376363636363637</v>
      </c>
      <c r="M97" s="310">
        <f t="shared" si="24"/>
        <v>12.462727272727273</v>
      </c>
      <c r="N97" s="310">
        <f t="shared" si="24"/>
        <v>12.4</v>
      </c>
      <c r="O97" s="280">
        <f t="shared" si="24"/>
        <v>12.33568181818182</v>
      </c>
      <c r="P97" s="310">
        <f t="shared" si="24"/>
        <v>12.468181818181819</v>
      </c>
      <c r="Q97" s="310">
        <f t="shared" si="24"/>
        <v>12.827272727272728</v>
      </c>
      <c r="R97" s="310">
        <f t="shared" si="24"/>
        <v>12.886363636363637</v>
      </c>
      <c r="S97" s="310">
        <f t="shared" si="24"/>
        <v>12.877272727272727</v>
      </c>
      <c r="T97" s="280">
        <f t="shared" si="24"/>
        <v>12.764772727272728</v>
      </c>
      <c r="U97" s="279">
        <f>S97*(1+U98)</f>
        <v>13.521136363636364</v>
      </c>
      <c r="V97" s="279">
        <f>U97*(1+V98)</f>
        <v>14.197193181818182</v>
      </c>
      <c r="W97" s="279">
        <f>V97*(1+W98)</f>
        <v>14.907052840909092</v>
      </c>
      <c r="X97" s="279">
        <f>W97*(1+X98)</f>
        <v>14.907052840909092</v>
      </c>
      <c r="Y97" s="280">
        <f>Y91/Y92</f>
        <v>14.40616703143361</v>
      </c>
      <c r="Z97" s="279">
        <f>X97*(1+Z98)</f>
        <v>15.652405482954547</v>
      </c>
      <c r="AA97" s="279">
        <f>Z97*(1+AA98)</f>
        <v>16.435025757102274</v>
      </c>
      <c r="AB97" s="279">
        <f>AA97*(1+AB98)</f>
        <v>17.25677704495739</v>
      </c>
      <c r="AC97" s="279">
        <f>AB97*(1+AC98)</f>
        <v>18.119615897205257</v>
      </c>
      <c r="AD97" s="280">
        <f>AD91/AD92</f>
        <v>16.91609862196101</v>
      </c>
      <c r="AE97" s="280">
        <f>AD97*(1+AE98)</f>
        <v>17.76190355305906</v>
      </c>
      <c r="AF97" s="280">
        <f>AE97*(1+AF98)</f>
        <v>18.649998730712014</v>
      </c>
      <c r="AG97" s="280">
        <f>AF97*(1+AG98)</f>
        <v>19.582498667247616</v>
      </c>
      <c r="AH97" s="8"/>
      <c r="AI97" s="8"/>
      <c r="AJ97" s="8"/>
    </row>
    <row r="98" ht="12.75" customHeight="1" spans="1:36" x14ac:dyDescent="0.25" outlineLevel="1" collapsed="1">
      <c r="A98" s="8"/>
      <c r="B98" s="8"/>
      <c r="C98" s="111" t="s">
        <v>255</v>
      </c>
      <c r="D98" s="8"/>
      <c r="E98" s="160"/>
      <c r="F98" s="312"/>
      <c r="G98" s="311">
        <f>IFERROR(G97/F97-1,"--")</f>
        <v>0.03441262609827511</v>
      </c>
      <c r="H98" s="311">
        <f>IFERROR(H97/G97-1,"--")</f>
        <v>0.028902870625245658</v>
      </c>
      <c r="I98" s="311">
        <f>IFERROR(I97/H97-1,"--")</f>
        <v>0.007070514045480536</v>
      </c>
      <c r="J98" s="160"/>
      <c r="K98" s="311">
        <f>IFERROR(K97/I97-1,"--")</f>
        <v>0.0105502846299812</v>
      </c>
      <c r="L98" s="311">
        <f>IFERROR(L97/K97-1,"--")</f>
        <v>0.022532672374943497</v>
      </c>
      <c r="M98" s="311">
        <f>IFERROR(M97/L97-1,"--")</f>
        <v>0.006978110768326662</v>
      </c>
      <c r="N98" s="311">
        <f>IFERROR(N97/M97-1,"--")</f>
        <v>-0.0050331898752643545</v>
      </c>
      <c r="O98" s="299">
        <f>IFERROR(O97/J97-1,"--")</f>
        <v>0.05876386193174632</v>
      </c>
      <c r="P98" s="311">
        <f>IFERROR(P97/N97-1,"--")</f>
        <v>0.005498533724340282</v>
      </c>
      <c r="Q98" s="311">
        <f>IFERROR(Q97/P97-1,"--")</f>
        <v>0.028800583302952987</v>
      </c>
      <c r="R98" s="311">
        <f>IFERROR(R97/Q97-1,"--")</f>
        <v>0.004606661941885193</v>
      </c>
      <c r="S98" s="311">
        <f>IFERROR(S97/R97-1,"--")</f>
        <v>-0.000705467372134061</v>
      </c>
      <c r="T98" s="299">
        <f>IFERROR(T97/O97-1,"--")</f>
        <v>0.034784531201061064</v>
      </c>
      <c r="U98" s="298">
        <f>IF(Case_Scenario="Bull",U99,IF(Case_Scenario="Base",U100,IF(Case_Scenario="bear",U101,"N/A")))</f>
        <v>0.05</v>
      </c>
      <c r="V98" s="298">
        <f>IF(Case_Scenario="Bull",V99,IF(Case_Scenario="Base",V100,IF(Case_Scenario="bear",V101,"N/A")))</f>
        <v>0.05</v>
      </c>
      <c r="W98" s="298">
        <f>IF(Case_Scenario="Bull",W99,IF(Case_Scenario="Base",W100,IF(Case_Scenario="bear",W101,"N/A")))</f>
        <v>0.05</v>
      </c>
      <c r="X98" s="298">
        <f>IF(Case_Scenario="Bull",X99,IF(Case_Scenario="Base",X100,IF(Case_Scenario="bear",X101,"N/A")))</f>
        <v>0</v>
      </c>
      <c r="Y98" s="299"/>
      <c r="Z98" s="298">
        <f>IF(Case_Scenario="Bull",Z99,IF(Case_Scenario="Base",Z100,IF(Case_Scenario="bear",Z101,"N/A")))</f>
        <v>0.05</v>
      </c>
      <c r="AA98" s="298">
        <f>IF(Case_Scenario="Bull",AA99,IF(Case_Scenario="Base",AA100,IF(Case_Scenario="bear",AA101,"N/A")))</f>
        <v>0.05</v>
      </c>
      <c r="AB98" s="298">
        <f>IF(Case_Scenario="Bull",AB99,IF(Case_Scenario="Base",AB100,IF(Case_Scenario="bear",AB101,"N/A")))</f>
        <v>0.05</v>
      </c>
      <c r="AC98" s="298">
        <f>IF(Case_Scenario="Bull",AC99,IF(Case_Scenario="Base",AC100,IF(Case_Scenario="bear",AC101,"N/A")))</f>
        <v>0.05</v>
      </c>
      <c r="AD98" s="299"/>
      <c r="AE98" s="299">
        <f>IF(Case_Scenario="Bull",AE99,IF(Case_Scenario="Base",AE100,IF(Case_Scenario="bear",AE101,"N/A")))</f>
        <v>0.05</v>
      </c>
      <c r="AF98" s="299">
        <f>IF(Case_Scenario="Bull",AF99,IF(Case_Scenario="Base",AF100,IF(Case_Scenario="bear",AF101,"N/A")))</f>
        <v>0.05</v>
      </c>
      <c r="AG98" s="299">
        <f>IF(Case_Scenario="Bull",AG99,IF(Case_Scenario="Base",AG100,IF(Case_Scenario="bear",AG101,"N/A")))</f>
        <v>0.05</v>
      </c>
      <c r="AH98" s="8"/>
      <c r="AI98" s="8"/>
      <c r="AJ98" s="8"/>
    </row>
    <row r="99" ht="12.75" customHeight="1" spans="1:36" x14ac:dyDescent="0.25" outlineLevel="1" collapsed="1">
      <c r="A99" s="8"/>
      <c r="B99" s="8"/>
      <c r="C99" s="130" t="s">
        <v>249</v>
      </c>
      <c r="D99" s="8"/>
      <c r="E99" s="160"/>
      <c r="F99" s="312"/>
      <c r="G99" s="312"/>
      <c r="H99" s="312"/>
      <c r="I99" s="312"/>
      <c r="J99" s="160"/>
      <c r="K99" s="312"/>
      <c r="L99" s="312"/>
      <c r="M99" s="312"/>
      <c r="N99" s="312"/>
      <c r="O99" s="160"/>
      <c r="P99" s="312"/>
      <c r="Q99" s="312"/>
      <c r="R99" s="312"/>
      <c r="S99" s="312"/>
      <c r="T99" s="160"/>
      <c r="U99" s="313">
        <v>0.1</v>
      </c>
      <c r="V99" s="313">
        <v>0.1</v>
      </c>
      <c r="W99" s="313">
        <v>0.1</v>
      </c>
      <c r="X99" s="313">
        <v>0</v>
      </c>
      <c r="Y99" s="314"/>
      <c r="Z99" s="313">
        <v>0.1</v>
      </c>
      <c r="AA99" s="313">
        <v>0.1</v>
      </c>
      <c r="AB99" s="313">
        <v>0.1</v>
      </c>
      <c r="AC99" s="313">
        <v>0.1</v>
      </c>
      <c r="AD99" s="314"/>
      <c r="AE99" s="314">
        <v>0.1</v>
      </c>
      <c r="AF99" s="314">
        <v>0.1</v>
      </c>
      <c r="AG99" s="314">
        <v>0.1</v>
      </c>
      <c r="AH99" s="8"/>
      <c r="AI99" s="8"/>
      <c r="AJ99" s="8"/>
    </row>
    <row r="100" ht="12.75" customHeight="1" spans="1:36" x14ac:dyDescent="0.25" outlineLevel="1" collapsed="1">
      <c r="A100" s="8"/>
      <c r="B100" s="8"/>
      <c r="C100" s="130" t="s">
        <v>250</v>
      </c>
      <c r="D100" s="8"/>
      <c r="E100" s="160"/>
      <c r="F100" s="312"/>
      <c r="G100" s="312"/>
      <c r="H100" s="312"/>
      <c r="I100" s="312"/>
      <c r="J100" s="160"/>
      <c r="K100" s="312"/>
      <c r="L100" s="312"/>
      <c r="M100" s="312"/>
      <c r="N100" s="312"/>
      <c r="O100" s="160"/>
      <c r="P100" s="312"/>
      <c r="Q100" s="312"/>
      <c r="R100" s="312"/>
      <c r="S100" s="312"/>
      <c r="T100" s="160"/>
      <c r="U100" s="313">
        <v>0.05</v>
      </c>
      <c r="V100" s="313">
        <v>0.05</v>
      </c>
      <c r="W100" s="313">
        <v>0.05</v>
      </c>
      <c r="X100" s="313">
        <v>0</v>
      </c>
      <c r="Y100" s="314"/>
      <c r="Z100" s="313">
        <v>0.05</v>
      </c>
      <c r="AA100" s="313">
        <v>0.05</v>
      </c>
      <c r="AB100" s="313">
        <v>0.05</v>
      </c>
      <c r="AC100" s="313">
        <v>0.05</v>
      </c>
      <c r="AD100" s="314"/>
      <c r="AE100" s="314">
        <v>0.05</v>
      </c>
      <c r="AF100" s="314">
        <v>0.05</v>
      </c>
      <c r="AG100" s="314">
        <v>0.05</v>
      </c>
      <c r="AH100" s="8"/>
      <c r="AI100" s="8"/>
      <c r="AJ100" s="8"/>
    </row>
    <row r="101" ht="12.75" customHeight="1" spans="1:36" x14ac:dyDescent="0.25" outlineLevel="1" collapsed="1">
      <c r="A101" s="8"/>
      <c r="B101" s="8"/>
      <c r="C101" s="130" t="s">
        <v>251</v>
      </c>
      <c r="D101" s="8"/>
      <c r="E101" s="160"/>
      <c r="F101" s="312"/>
      <c r="G101" s="312"/>
      <c r="H101" s="312"/>
      <c r="I101" s="312"/>
      <c r="J101" s="160"/>
      <c r="K101" s="312"/>
      <c r="L101" s="312"/>
      <c r="M101" s="312"/>
      <c r="N101" s="312"/>
      <c r="O101" s="160"/>
      <c r="P101" s="312"/>
      <c r="Q101" s="312"/>
      <c r="R101" s="312"/>
      <c r="S101" s="312"/>
      <c r="T101" s="160"/>
      <c r="U101" s="313">
        <v>0</v>
      </c>
      <c r="V101" s="313">
        <v>0</v>
      </c>
      <c r="W101" s="313">
        <v>0</v>
      </c>
      <c r="X101" s="313">
        <v>0</v>
      </c>
      <c r="Y101" s="314"/>
      <c r="Z101" s="313">
        <v>0</v>
      </c>
      <c r="AA101" s="313">
        <v>0</v>
      </c>
      <c r="AB101" s="313">
        <v>0</v>
      </c>
      <c r="AC101" s="313">
        <v>0</v>
      </c>
      <c r="AD101" s="314"/>
      <c r="AE101" s="314">
        <v>0</v>
      </c>
      <c r="AF101" s="314">
        <v>0</v>
      </c>
      <c r="AG101" s="314">
        <v>0</v>
      </c>
      <c r="AH101" s="8"/>
      <c r="AI101" s="8"/>
      <c r="AJ101" s="8"/>
    </row>
    <row r="102" ht="12.75" customHeight="1" spans="1:36" x14ac:dyDescent="0.25" outlineLevel="1" collapsed="1">
      <c r="A102" s="8"/>
      <c r="B102" s="8"/>
      <c r="C102" s="8"/>
      <c r="D102" s="8"/>
      <c r="E102" s="160"/>
      <c r="F102" s="312"/>
      <c r="G102" s="312"/>
      <c r="H102" s="312"/>
      <c r="I102" s="312"/>
      <c r="J102" s="160"/>
      <c r="K102" s="312"/>
      <c r="L102" s="312"/>
      <c r="M102" s="312"/>
      <c r="N102" s="312"/>
      <c r="O102" s="160"/>
      <c r="P102" s="312"/>
      <c r="Q102" s="312"/>
      <c r="R102" s="312"/>
      <c r="S102" s="312"/>
      <c r="T102" s="160"/>
      <c r="U102" s="315"/>
      <c r="V102" s="315"/>
      <c r="W102" s="315"/>
      <c r="X102" s="315"/>
      <c r="Y102" s="160"/>
      <c r="Z102" s="315"/>
      <c r="AA102" s="315"/>
      <c r="AB102" s="315"/>
      <c r="AC102" s="315"/>
      <c r="AD102" s="160"/>
      <c r="AE102" s="160"/>
      <c r="AF102" s="160"/>
      <c r="AG102" s="160"/>
      <c r="AH102" s="8"/>
      <c r="AI102" s="8"/>
      <c r="AJ102" s="8"/>
    </row>
    <row r="103" ht="12.75" customHeight="1" spans="1:36" x14ac:dyDescent="0.25" outlineLevel="1" collapsed="1">
      <c r="A103" s="257" t="s">
        <v>3</v>
      </c>
      <c r="B103" s="8"/>
      <c r="C103" s="130" t="str">
        <f>C35</f>
        <v>Landfill Revenue</v>
      </c>
      <c r="D103" s="8"/>
      <c r="E103" s="160"/>
      <c r="F103" s="310">
        <f t="shared" ref="F103:T103" si="25">F35</f>
        <v>392.6</v>
      </c>
      <c r="G103" s="310">
        <f t="shared" si="25"/>
        <v>431</v>
      </c>
      <c r="H103" s="310">
        <f t="shared" si="25"/>
        <v>436.3</v>
      </c>
      <c r="I103" s="310">
        <f t="shared" si="25"/>
        <v>419.6</v>
      </c>
      <c r="J103" s="280">
        <f t="shared" si="25"/>
        <v>1679.5</v>
      </c>
      <c r="K103" s="310">
        <f t="shared" si="25"/>
        <v>404.4</v>
      </c>
      <c r="L103" s="310">
        <f t="shared" si="25"/>
        <v>440.2</v>
      </c>
      <c r="M103" s="310">
        <f t="shared" si="25"/>
        <v>452.8</v>
      </c>
      <c r="N103" s="310">
        <f t="shared" si="25"/>
        <v>443</v>
      </c>
      <c r="O103" s="280">
        <f t="shared" si="25"/>
        <v>1740.3999999999999</v>
      </c>
      <c r="P103" s="310">
        <f t="shared" si="25"/>
        <v>421</v>
      </c>
      <c r="Q103" s="310">
        <f t="shared" si="25"/>
        <v>516</v>
      </c>
      <c r="R103" s="310">
        <f t="shared" si="25"/>
        <v>516</v>
      </c>
      <c r="S103" s="310">
        <f t="shared" si="25"/>
        <v>467</v>
      </c>
      <c r="T103" s="280">
        <f t="shared" si="25"/>
        <v>1920</v>
      </c>
      <c r="U103" s="279">
        <f>U104*U109</f>
        <v>514.8675000000001</v>
      </c>
      <c r="V103" s="279">
        <f>V104*V109</f>
        <v>567.6414187500001</v>
      </c>
      <c r="W103" s="279">
        <f>W104*W109</f>
        <v>625.824664171875</v>
      </c>
      <c r="X103" s="279">
        <f>X104*X109</f>
        <v>625.824664171875</v>
      </c>
      <c r="Y103" s="280">
        <f>SUM(U103:X103)</f>
        <v>2334.1582470937506</v>
      </c>
      <c r="Z103" s="279">
        <f>Z104*Z109</f>
        <v>689.9716922494923</v>
      </c>
      <c r="AA103" s="279">
        <f>AA104*AA109</f>
        <v>760.6937907050653</v>
      </c>
      <c r="AB103" s="279">
        <f>AB104*AB109</f>
        <v>838.6649042523347</v>
      </c>
      <c r="AC103" s="279">
        <f>AC104*AC109</f>
        <v>924.6280569381992</v>
      </c>
      <c r="AD103" s="280">
        <f>SUM(Z103:AC103)</f>
        <v>3213.958444145092</v>
      </c>
      <c r="AE103" s="280">
        <f>AE104*AE109</f>
        <v>3543.389184669965</v>
      </c>
      <c r="AF103" s="280">
        <f>AF104*AF109</f>
        <v>3906.5865760986367</v>
      </c>
      <c r="AG103" s="280">
        <f>AG104*AG109</f>
        <v>4307.011700148747</v>
      </c>
      <c r="AH103" s="8"/>
      <c r="AI103" s="8"/>
      <c r="AJ103" s="8"/>
    </row>
    <row r="104" ht="12.75" customHeight="1" spans="1:36" x14ac:dyDescent="0.25" outlineLevel="1" collapsed="1">
      <c r="A104" s="8"/>
      <c r="B104" s="8"/>
      <c r="C104" s="130" t="s">
        <v>253</v>
      </c>
      <c r="D104" s="8"/>
      <c r="E104" s="160"/>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U104*(1+V105)</f>
        <v>242.55</v>
      </c>
      <c r="W104" s="322">
        <f>V104*(1+W105)</f>
        <v>254.6775</v>
      </c>
      <c r="X104" s="322">
        <f>W104*(1+X105)</f>
        <v>254.6775</v>
      </c>
      <c r="Y104" s="321">
        <f>SUM(U104:X104)</f>
        <v>982.905</v>
      </c>
      <c r="Z104" s="322">
        <f>X104*(1+Z105)</f>
        <v>267.411375</v>
      </c>
      <c r="AA104" s="322">
        <f>Z104*(1+AA105)</f>
        <v>280.78194375000004</v>
      </c>
      <c r="AB104" s="322">
        <f>AA104*(1+AB105)</f>
        <v>294.8210409375001</v>
      </c>
      <c r="AC104" s="322">
        <f>AB104*(1+AC105)</f>
        <v>309.5620929843751</v>
      </c>
      <c r="AD104" s="321">
        <f>SUM(Z104:AC104)</f>
        <v>1152.5764526718754</v>
      </c>
      <c r="AE104" s="321">
        <f>AD104*(1+AE105)</f>
        <v>1210.2052753054693</v>
      </c>
      <c r="AF104" s="321">
        <f>AE104*(1+AF105)</f>
        <v>1270.7155390707428</v>
      </c>
      <c r="AG104" s="321">
        <f>AF104*(1+AG105)</f>
        <v>1334.25131602428</v>
      </c>
      <c r="AH104" s="8"/>
      <c r="AI104" s="8"/>
      <c r="AJ104" s="8"/>
    </row>
    <row r="105" ht="12.75" customHeight="1" spans="1:36" x14ac:dyDescent="0.25" outlineLevel="1" collapsed="1">
      <c r="A105" s="8"/>
      <c r="B105" s="8"/>
      <c r="C105" s="111" t="s">
        <v>254</v>
      </c>
      <c r="D105" s="8"/>
      <c r="E105" s="160"/>
      <c r="F105" s="312"/>
      <c r="G105" s="311">
        <f>IFERROR(G104/F104-1,"--")</f>
        <v>0</v>
      </c>
      <c r="H105" s="311">
        <f>IFERROR(H104/G104-1,"--")</f>
        <v>0</v>
      </c>
      <c r="I105" s="311">
        <f>IFERROR(I104/H104-1,"--")</f>
        <v>0</v>
      </c>
      <c r="J105" s="160"/>
      <c r="K105" s="311">
        <f>IFERROR(K104/I104-1,"--")</f>
        <v>0</v>
      </c>
      <c r="L105" s="311">
        <f>IFERROR(L104/K104-1,"--")</f>
        <v>0</v>
      </c>
      <c r="M105" s="311">
        <f>IFERROR(M104/L104-1,"--")</f>
        <v>0</v>
      </c>
      <c r="N105" s="311">
        <f>IFERROR(N104/M104-1,"--")</f>
        <v>0</v>
      </c>
      <c r="O105" s="299">
        <f>IFERROR(O104/J104-1,"--")</f>
        <v>0</v>
      </c>
      <c r="P105" s="311">
        <f>IFERROR(P104/N104-1,"--")</f>
        <v>0</v>
      </c>
      <c r="Q105" s="311">
        <f>IFERROR(Q104/P104-1,"--")</f>
        <v>0</v>
      </c>
      <c r="R105" s="311">
        <f>IFERROR(R104/Q104-1,"--")</f>
        <v>0</v>
      </c>
      <c r="S105" s="311">
        <f>IFERROR(S104/R104-1,"--")</f>
        <v>0</v>
      </c>
      <c r="T105" s="299">
        <f>IFERROR(T104/O104-1,"--")</f>
        <v>0</v>
      </c>
      <c r="U105" s="298">
        <f>IF(Case_Scenario="Bull",U106,IF(Case_Scenario="Base",U107,IF(Case_Scenario="bear",U108,"N/A")))</f>
        <v>0.05</v>
      </c>
      <c r="V105" s="298">
        <f>IF(Case_Scenario="Bull",V106,IF(Case_Scenario="Base",V107,IF(Case_Scenario="bear",V108,"N/A")))</f>
        <v>0.05</v>
      </c>
      <c r="W105" s="298">
        <f>IF(Case_Scenario="Bull",W106,IF(Case_Scenario="Base",W107,IF(Case_Scenario="bear",W108,"N/A")))</f>
        <v>0.05</v>
      </c>
      <c r="X105" s="298">
        <f>IF(Case_Scenario="Bull",X106,IF(Case_Scenario="Base",X107,IF(Case_Scenario="bear",X108,"N/A")))</f>
        <v>0</v>
      </c>
      <c r="Y105" s="299"/>
      <c r="Z105" s="298">
        <f>IF(Case_Scenario="Bull",Z106,IF(Case_Scenario="Base",Z107,IF(Case_Scenario="bear",Z108,"N/A")))</f>
        <v>0.05</v>
      </c>
      <c r="AA105" s="298">
        <f>IF(Case_Scenario="Bull",AA106,IF(Case_Scenario="Base",AA107,IF(Case_Scenario="bear",AA108,"N/A")))</f>
        <v>0.05</v>
      </c>
      <c r="AB105" s="298">
        <f>IF(Case_Scenario="Bull",AB106,IF(Case_Scenario="Base",AB107,IF(Case_Scenario="bear",AB108,"N/A")))</f>
        <v>0.05</v>
      </c>
      <c r="AC105" s="298">
        <f>IF(Case_Scenario="Bull",AC106,IF(Case_Scenario="Base",AC107,IF(Case_Scenario="bear",AC108,"N/A")))</f>
        <v>0.05</v>
      </c>
      <c r="AD105" s="299"/>
      <c r="AE105" s="299">
        <f>IF(Case_Scenario="Bull",AE106,IF(Case_Scenario="Base",AE107,IF(Case_Scenario="bear",AE108,"N/A")))</f>
        <v>0.05</v>
      </c>
      <c r="AF105" s="299">
        <f>IF(Case_Scenario="Bull",AF106,IF(Case_Scenario="Base",AF107,IF(Case_Scenario="bear",AF108,"N/A")))</f>
        <v>0.05</v>
      </c>
      <c r="AG105" s="299">
        <f>IF(Case_Scenario="Bull",AG106,IF(Case_Scenario="Base",AG107,IF(Case_Scenario="bear",AG108,"N/A")))</f>
        <v>0.05</v>
      </c>
      <c r="AH105" s="8"/>
      <c r="AI105" s="8"/>
      <c r="AJ105" s="8"/>
    </row>
    <row r="106" ht="12.75" customHeight="1" spans="1:36" x14ac:dyDescent="0.25" outlineLevel="1" collapsed="1">
      <c r="A106" s="8"/>
      <c r="B106" s="8"/>
      <c r="C106" s="130" t="s">
        <v>249</v>
      </c>
      <c r="D106" s="8"/>
      <c r="E106" s="160"/>
      <c r="F106" s="312"/>
      <c r="G106" s="312"/>
      <c r="H106" s="312"/>
      <c r="I106" s="312"/>
      <c r="J106" s="160"/>
      <c r="K106" s="312"/>
      <c r="L106" s="312"/>
      <c r="M106" s="312"/>
      <c r="N106" s="312"/>
      <c r="O106" s="160"/>
      <c r="P106" s="312"/>
      <c r="Q106" s="312"/>
      <c r="R106" s="312"/>
      <c r="S106" s="312"/>
      <c r="T106" s="160"/>
      <c r="U106" s="313">
        <v>0.1</v>
      </c>
      <c r="V106" s="313">
        <v>0.1</v>
      </c>
      <c r="W106" s="313">
        <v>0.1</v>
      </c>
      <c r="X106" s="313">
        <v>0</v>
      </c>
      <c r="Y106" s="314"/>
      <c r="Z106" s="313">
        <v>0.1</v>
      </c>
      <c r="AA106" s="313">
        <v>0.1</v>
      </c>
      <c r="AB106" s="313">
        <v>0.1</v>
      </c>
      <c r="AC106" s="313">
        <v>0.1</v>
      </c>
      <c r="AD106" s="314"/>
      <c r="AE106" s="314">
        <v>0.1</v>
      </c>
      <c r="AF106" s="314">
        <v>0.1</v>
      </c>
      <c r="AG106" s="314">
        <v>0.1</v>
      </c>
      <c r="AH106" s="8"/>
      <c r="AI106" s="8"/>
      <c r="AJ106" s="8"/>
    </row>
    <row r="107" ht="12.75" customHeight="1" spans="1:36" x14ac:dyDescent="0.25" outlineLevel="1" collapsed="1">
      <c r="A107" s="8"/>
      <c r="B107" s="8"/>
      <c r="C107" s="130" t="s">
        <v>250</v>
      </c>
      <c r="D107" s="8"/>
      <c r="E107" s="160"/>
      <c r="F107" s="312"/>
      <c r="G107" s="312"/>
      <c r="H107" s="312"/>
      <c r="I107" s="312"/>
      <c r="J107" s="160"/>
      <c r="K107" s="312"/>
      <c r="L107" s="312"/>
      <c r="M107" s="312"/>
      <c r="N107" s="312"/>
      <c r="O107" s="160"/>
      <c r="P107" s="312"/>
      <c r="Q107" s="312"/>
      <c r="R107" s="312"/>
      <c r="S107" s="312"/>
      <c r="T107" s="160"/>
      <c r="U107" s="313">
        <v>0.05</v>
      </c>
      <c r="V107" s="313">
        <v>0.05</v>
      </c>
      <c r="W107" s="313">
        <v>0.05</v>
      </c>
      <c r="X107" s="313">
        <v>0</v>
      </c>
      <c r="Y107" s="314"/>
      <c r="Z107" s="313">
        <v>0.05</v>
      </c>
      <c r="AA107" s="313">
        <v>0.05</v>
      </c>
      <c r="AB107" s="313">
        <v>0.05</v>
      </c>
      <c r="AC107" s="313">
        <v>0.05</v>
      </c>
      <c r="AD107" s="314"/>
      <c r="AE107" s="314">
        <v>0.05</v>
      </c>
      <c r="AF107" s="314">
        <v>0.05</v>
      </c>
      <c r="AG107" s="314">
        <v>0.05</v>
      </c>
      <c r="AH107" s="8"/>
      <c r="AI107" s="8"/>
      <c r="AJ107" s="8"/>
    </row>
    <row r="108" ht="12.75" customHeight="1" spans="1:36" x14ac:dyDescent="0.25" outlineLevel="1" collapsed="1">
      <c r="A108" s="8"/>
      <c r="B108" s="8"/>
      <c r="C108" s="130" t="s">
        <v>251</v>
      </c>
      <c r="D108" s="8"/>
      <c r="E108" s="160"/>
      <c r="F108" s="312"/>
      <c r="G108" s="312"/>
      <c r="H108" s="312"/>
      <c r="I108" s="312"/>
      <c r="J108" s="160"/>
      <c r="K108" s="312"/>
      <c r="L108" s="312"/>
      <c r="M108" s="312"/>
      <c r="N108" s="312"/>
      <c r="O108" s="160"/>
      <c r="P108" s="312"/>
      <c r="Q108" s="312"/>
      <c r="R108" s="312"/>
      <c r="S108" s="312"/>
      <c r="T108" s="160"/>
      <c r="U108" s="313">
        <v>0</v>
      </c>
      <c r="V108" s="313">
        <v>0</v>
      </c>
      <c r="W108" s="313">
        <v>0</v>
      </c>
      <c r="X108" s="313">
        <v>0</v>
      </c>
      <c r="Y108" s="314"/>
      <c r="Z108" s="313">
        <v>0</v>
      </c>
      <c r="AA108" s="313">
        <v>0</v>
      </c>
      <c r="AB108" s="313">
        <v>0</v>
      </c>
      <c r="AC108" s="313">
        <v>0</v>
      </c>
      <c r="AD108" s="314"/>
      <c r="AE108" s="314">
        <v>0</v>
      </c>
      <c r="AF108" s="314">
        <v>0</v>
      </c>
      <c r="AG108" s="314">
        <v>0</v>
      </c>
      <c r="AH108" s="8"/>
      <c r="AI108" s="8"/>
      <c r="AJ108" s="8"/>
    </row>
    <row r="109" ht="12.75" customHeight="1" spans="1:36" x14ac:dyDescent="0.25" outlineLevel="1" collapsed="1">
      <c r="A109" s="8"/>
      <c r="B109" s="8"/>
      <c r="C109" s="130" t="s">
        <v>163</v>
      </c>
      <c r="D109" s="8"/>
      <c r="E109" s="160"/>
      <c r="F109" s="310">
        <f t="shared" ref="F109:T109" si="26">IFERROR(F103/F104,"--")</f>
        <v>1.7845454545454547</v>
      </c>
      <c r="G109" s="310">
        <f t="shared" si="26"/>
        <v>1.959090909090909</v>
      </c>
      <c r="H109" s="310">
        <f t="shared" si="26"/>
        <v>1.9831818181818182</v>
      </c>
      <c r="I109" s="310">
        <f t="shared" si="26"/>
        <v>1.9072727272727275</v>
      </c>
      <c r="J109" s="280">
        <f t="shared" si="26"/>
        <v>1.9085227272727272</v>
      </c>
      <c r="K109" s="310">
        <f t="shared" si="26"/>
        <v>1.8381818181818181</v>
      </c>
      <c r="L109" s="310">
        <f t="shared" si="26"/>
        <v>2.000909090909091</v>
      </c>
      <c r="M109" s="310">
        <f t="shared" si="26"/>
        <v>2.058181818181818</v>
      </c>
      <c r="N109" s="310">
        <f t="shared" si="26"/>
        <v>2.0136363636363637</v>
      </c>
      <c r="O109" s="280">
        <f t="shared" si="26"/>
        <v>1.9777272727272726</v>
      </c>
      <c r="P109" s="310">
        <f t="shared" si="26"/>
        <v>1.9136363636363636</v>
      </c>
      <c r="Q109" s="310">
        <f t="shared" si="26"/>
        <v>2.3454545454545452</v>
      </c>
      <c r="R109" s="310">
        <f t="shared" si="26"/>
        <v>2.3454545454545452</v>
      </c>
      <c r="S109" s="310">
        <f t="shared" si="26"/>
        <v>2.1227272727272726</v>
      </c>
      <c r="T109" s="280">
        <f t="shared" si="26"/>
        <v>2.1818181818181817</v>
      </c>
      <c r="U109" s="279">
        <f>S109*(1+U110)</f>
        <v>2.2288636363636365</v>
      </c>
      <c r="V109" s="279">
        <f>U109*(1+V110)</f>
        <v>2.3403068181818183</v>
      </c>
      <c r="W109" s="279">
        <f>V109*(1+W110)</f>
        <v>2.4573221590909093</v>
      </c>
      <c r="X109" s="279">
        <f>W109*(1+X110)</f>
        <v>2.4573221590909093</v>
      </c>
      <c r="Y109" s="280">
        <f>Y103/Y104</f>
        <v>2.3747546783196247</v>
      </c>
      <c r="Z109" s="279">
        <f>X109*(1+Z110)</f>
        <v>2.580188267045455</v>
      </c>
      <c r="AA109" s="279">
        <f>Z109*(1+AA110)</f>
        <v>2.7091976803977276</v>
      </c>
      <c r="AB109" s="279">
        <f>AA109*(1+AB110)</f>
        <v>2.844657564417614</v>
      </c>
      <c r="AC109" s="279">
        <f>AB109*(1+AC110)</f>
        <v>2.986890442638495</v>
      </c>
      <c r="AD109" s="280">
        <f>AD103/AD104</f>
        <v>2.7884991374711587</v>
      </c>
      <c r="AE109" s="280">
        <f>AD109*(1+AE110)</f>
        <v>2.927924094344717</v>
      </c>
      <c r="AF109" s="280">
        <f>AE109*(1+AF110)</f>
        <v>3.0743202990619527</v>
      </c>
      <c r="AG109" s="280">
        <f>AF109*(1+AG110)</f>
        <v>3.2280363140150503</v>
      </c>
      <c r="AH109" s="8"/>
      <c r="AI109" s="8"/>
      <c r="AJ109" s="8"/>
    </row>
    <row r="110" ht="12.75" customHeight="1" spans="1:36" x14ac:dyDescent="0.25" outlineLevel="1" collapsed="1">
      <c r="A110" s="8"/>
      <c r="B110" s="8"/>
      <c r="C110" s="111" t="s">
        <v>255</v>
      </c>
      <c r="D110" s="8"/>
      <c r="E110" s="160"/>
      <c r="F110" s="312"/>
      <c r="G110" s="311">
        <f>IFERROR(G109/F109-1,"--")</f>
        <v>0.09780947529291883</v>
      </c>
      <c r="H110" s="311">
        <f>IFERROR(H109/G109-1,"--")</f>
        <v>0.012296983758700808</v>
      </c>
      <c r="I110" s="311">
        <f>IFERROR(I109/H109-1,"--")</f>
        <v>-0.038276415310566025</v>
      </c>
      <c r="J110" s="160"/>
      <c r="K110" s="311">
        <f>IFERROR(K109/I109-1,"--")</f>
        <v>-0.03622497616777898</v>
      </c>
      <c r="L110" s="311">
        <f>IFERROR(L109/K109-1,"--")</f>
        <v>0.08852621167161234</v>
      </c>
      <c r="M110" s="311">
        <f>IFERROR(M109/L109-1,"--")</f>
        <v>0.02862335302135377</v>
      </c>
      <c r="N110" s="311">
        <f>IFERROR(N109/M109-1,"--")</f>
        <v>-0.021643109540635974</v>
      </c>
      <c r="O110" s="299">
        <f>IFERROR(O109/J109-1,"--")</f>
        <v>0.036260791902351874</v>
      </c>
      <c r="P110" s="311">
        <f>IFERROR(P109/N109-1,"--")</f>
        <v>-0.04966139954853277</v>
      </c>
      <c r="Q110" s="311">
        <f>IFERROR(Q109/P109-1,"--")</f>
        <v>0.22565320665083122</v>
      </c>
      <c r="R110" s="311">
        <f>IFERROR(R109/Q109-1,"--")</f>
        <v>0</v>
      </c>
      <c r="S110" s="311">
        <f>IFERROR(S109/R109-1,"--")</f>
        <v>-0.09496124031007747</v>
      </c>
      <c r="T110" s="299">
        <f>IFERROR(T109/O109-1,"--")</f>
        <v>0.10319466789243847</v>
      </c>
      <c r="U110" s="298">
        <f>IF(Case_Scenario="Bull",U111,IF(Case_Scenario="Base",U112,IF(Case_Scenario="bear",U113,"N/A")))</f>
        <v>0.05</v>
      </c>
      <c r="V110" s="298">
        <f>IF(Case_Scenario="Bull",V111,IF(Case_Scenario="Base",V112,IF(Case_Scenario="bear",V113,"N/A")))</f>
        <v>0.05</v>
      </c>
      <c r="W110" s="298">
        <f>IF(Case_Scenario="Bull",W111,IF(Case_Scenario="Base",W112,IF(Case_Scenario="bear",W113,"N/A")))</f>
        <v>0.05</v>
      </c>
      <c r="X110" s="298">
        <f>IF(Case_Scenario="Bull",X111,IF(Case_Scenario="Base",X112,IF(Case_Scenario="bear",X113,"N/A")))</f>
        <v>0</v>
      </c>
      <c r="Y110" s="299"/>
      <c r="Z110" s="298">
        <f>IF(Case_Scenario="Bull",Z111,IF(Case_Scenario="Base",Z112,IF(Case_Scenario="bear",Z113,"N/A")))</f>
        <v>0.05</v>
      </c>
      <c r="AA110" s="298">
        <f>IF(Case_Scenario="Bull",AA111,IF(Case_Scenario="Base",AA112,IF(Case_Scenario="bear",AA113,"N/A")))</f>
        <v>0.05</v>
      </c>
      <c r="AB110" s="298">
        <f>IF(Case_Scenario="Bull",AB111,IF(Case_Scenario="Base",AB112,IF(Case_Scenario="bear",AB113,"N/A")))</f>
        <v>0.05</v>
      </c>
      <c r="AC110" s="298">
        <f>IF(Case_Scenario="Bull",AC111,IF(Case_Scenario="Base",AC112,IF(Case_Scenario="bear",AC113,"N/A")))</f>
        <v>0.05</v>
      </c>
      <c r="AD110" s="299"/>
      <c r="AE110" s="299">
        <f>IF(Case_Scenario="Bull",AE111,IF(Case_Scenario="Base",AE112,IF(Case_Scenario="bear",AE113,"N/A")))</f>
        <v>0.05</v>
      </c>
      <c r="AF110" s="299">
        <f>IF(Case_Scenario="Bull",AF111,IF(Case_Scenario="Base",AF112,IF(Case_Scenario="bear",AF113,"N/A")))</f>
        <v>0.05</v>
      </c>
      <c r="AG110" s="299">
        <f>IF(Case_Scenario="Bull",AG111,IF(Case_Scenario="Base",AG112,IF(Case_Scenario="bear",AG113,"N/A")))</f>
        <v>0.05</v>
      </c>
      <c r="AH110" s="8"/>
      <c r="AI110" s="8"/>
      <c r="AJ110" s="8"/>
    </row>
    <row r="111" ht="12.75" customHeight="1" spans="1:36" x14ac:dyDescent="0.25" outlineLevel="1" collapsed="1">
      <c r="A111" s="8"/>
      <c r="B111" s="8"/>
      <c r="C111" s="130" t="s">
        <v>249</v>
      </c>
      <c r="D111" s="8"/>
      <c r="E111" s="160"/>
      <c r="F111" s="312"/>
      <c r="G111" s="312"/>
      <c r="H111" s="312"/>
      <c r="I111" s="312"/>
      <c r="J111" s="160"/>
      <c r="K111" s="312"/>
      <c r="L111" s="312"/>
      <c r="M111" s="312"/>
      <c r="N111" s="312"/>
      <c r="O111" s="160"/>
      <c r="P111" s="312"/>
      <c r="Q111" s="312"/>
      <c r="R111" s="312"/>
      <c r="S111" s="312"/>
      <c r="T111" s="160"/>
      <c r="U111" s="313">
        <v>0.1</v>
      </c>
      <c r="V111" s="313">
        <v>0.1</v>
      </c>
      <c r="W111" s="313">
        <v>0.1</v>
      </c>
      <c r="X111" s="313">
        <v>0</v>
      </c>
      <c r="Y111" s="314"/>
      <c r="Z111" s="313">
        <v>0.1</v>
      </c>
      <c r="AA111" s="313">
        <v>0.1</v>
      </c>
      <c r="AB111" s="313">
        <v>0.1</v>
      </c>
      <c r="AC111" s="313">
        <v>0.1</v>
      </c>
      <c r="AD111" s="314"/>
      <c r="AE111" s="314">
        <v>0.1</v>
      </c>
      <c r="AF111" s="314">
        <v>0.1</v>
      </c>
      <c r="AG111" s="314">
        <v>0.1</v>
      </c>
      <c r="AH111" s="8"/>
      <c r="AI111" s="8"/>
      <c r="AJ111" s="8"/>
    </row>
    <row r="112" ht="12.75" customHeight="1" spans="1:36" x14ac:dyDescent="0.25" outlineLevel="1" collapsed="1">
      <c r="A112" s="8"/>
      <c r="B112" s="8"/>
      <c r="C112" s="130" t="s">
        <v>250</v>
      </c>
      <c r="D112" s="8"/>
      <c r="E112" s="160"/>
      <c r="F112" s="312"/>
      <c r="G112" s="312"/>
      <c r="H112" s="312"/>
      <c r="I112" s="312"/>
      <c r="J112" s="160"/>
      <c r="K112" s="312"/>
      <c r="L112" s="312"/>
      <c r="M112" s="312"/>
      <c r="N112" s="312"/>
      <c r="O112" s="160"/>
      <c r="P112" s="312"/>
      <c r="Q112" s="312"/>
      <c r="R112" s="312"/>
      <c r="S112" s="312"/>
      <c r="T112" s="160"/>
      <c r="U112" s="313">
        <v>0.05</v>
      </c>
      <c r="V112" s="313">
        <v>0.05</v>
      </c>
      <c r="W112" s="313">
        <v>0.05</v>
      </c>
      <c r="X112" s="313">
        <v>0</v>
      </c>
      <c r="Y112" s="314"/>
      <c r="Z112" s="313">
        <v>0.05</v>
      </c>
      <c r="AA112" s="313">
        <v>0.05</v>
      </c>
      <c r="AB112" s="313">
        <v>0.05</v>
      </c>
      <c r="AC112" s="313">
        <v>0.05</v>
      </c>
      <c r="AD112" s="314"/>
      <c r="AE112" s="314">
        <v>0.05</v>
      </c>
      <c r="AF112" s="314">
        <v>0.05</v>
      </c>
      <c r="AG112" s="314">
        <v>0.05</v>
      </c>
      <c r="AH112" s="8"/>
      <c r="AI112" s="8"/>
      <c r="AJ112" s="8"/>
    </row>
    <row r="113" ht="12.75" customHeight="1" spans="1:36" x14ac:dyDescent="0.25" outlineLevel="1" collapsed="1">
      <c r="A113" s="8"/>
      <c r="B113" s="8"/>
      <c r="C113" s="130" t="s">
        <v>251</v>
      </c>
      <c r="D113" s="8"/>
      <c r="E113" s="160"/>
      <c r="F113" s="312"/>
      <c r="G113" s="312"/>
      <c r="H113" s="312"/>
      <c r="I113" s="312"/>
      <c r="J113" s="160"/>
      <c r="K113" s="312"/>
      <c r="L113" s="312"/>
      <c r="M113" s="312"/>
      <c r="N113" s="312"/>
      <c r="O113" s="160"/>
      <c r="P113" s="312"/>
      <c r="Q113" s="312"/>
      <c r="R113" s="312"/>
      <c r="S113" s="312"/>
      <c r="T113" s="160"/>
      <c r="U113" s="313">
        <v>0</v>
      </c>
      <c r="V113" s="313">
        <v>0</v>
      </c>
      <c r="W113" s="313">
        <v>0</v>
      </c>
      <c r="X113" s="313">
        <v>0</v>
      </c>
      <c r="Y113" s="314"/>
      <c r="Z113" s="313">
        <v>0</v>
      </c>
      <c r="AA113" s="313">
        <v>0</v>
      </c>
      <c r="AB113" s="313">
        <v>0</v>
      </c>
      <c r="AC113" s="313">
        <v>0</v>
      </c>
      <c r="AD113" s="314"/>
      <c r="AE113" s="314">
        <v>0</v>
      </c>
      <c r="AF113" s="314">
        <v>0</v>
      </c>
      <c r="AG113" s="314">
        <v>0</v>
      </c>
      <c r="AH113" s="8"/>
      <c r="AI113" s="8"/>
      <c r="AJ113" s="8"/>
    </row>
    <row r="114" ht="12.75" customHeight="1" spans="1:36" x14ac:dyDescent="0.25" outlineLevel="1" collapsed="1">
      <c r="A114" s="8"/>
      <c r="B114" s="8"/>
      <c r="C114" s="8"/>
      <c r="D114" s="8"/>
      <c r="E114" s="160"/>
      <c r="F114" s="312"/>
      <c r="G114" s="312"/>
      <c r="H114" s="312"/>
      <c r="I114" s="312"/>
      <c r="J114" s="160"/>
      <c r="K114" s="312"/>
      <c r="L114" s="312"/>
      <c r="M114" s="312"/>
      <c r="N114" s="312"/>
      <c r="O114" s="160"/>
      <c r="P114" s="312"/>
      <c r="Q114" s="312"/>
      <c r="R114" s="312"/>
      <c r="S114" s="312"/>
      <c r="T114" s="160"/>
      <c r="U114" s="315"/>
      <c r="V114" s="315"/>
      <c r="W114" s="315"/>
      <c r="X114" s="315"/>
      <c r="Y114" s="160"/>
      <c r="Z114" s="315"/>
      <c r="AA114" s="315"/>
      <c r="AB114" s="315"/>
      <c r="AC114" s="315"/>
      <c r="AD114" s="160"/>
      <c r="AE114" s="160"/>
      <c r="AF114" s="160"/>
      <c r="AG114" s="160"/>
      <c r="AH114" s="8"/>
      <c r="AI114" s="8"/>
      <c r="AJ114" s="8"/>
    </row>
    <row r="115" ht="12.75" customHeight="1" spans="1:36" x14ac:dyDescent="0.25" outlineLevel="1" collapsed="1">
      <c r="A115" s="257" t="s">
        <v>3</v>
      </c>
      <c r="B115" s="8"/>
      <c r="C115" s="130" t="str">
        <f>C38</f>
        <v>Environmental solutions Revenue</v>
      </c>
      <c r="D115" s="8"/>
      <c r="E115" s="160"/>
      <c r="F115" s="310">
        <f t="shared" ref="F115:T115" si="27">F38</f>
        <v>408.3</v>
      </c>
      <c r="G115" s="310">
        <f t="shared" si="27"/>
        <v>398.3</v>
      </c>
      <c r="H115" s="310">
        <f t="shared" si="27"/>
        <v>404.8</v>
      </c>
      <c r="I115" s="310">
        <f t="shared" si="27"/>
        <v>413.4</v>
      </c>
      <c r="J115" s="280">
        <f t="shared" si="27"/>
        <v>1624.8000000000002</v>
      </c>
      <c r="K115" s="310">
        <f t="shared" si="27"/>
        <v>423.3</v>
      </c>
      <c r="L115" s="310">
        <f t="shared" si="27"/>
        <v>472.6</v>
      </c>
      <c r="M115" s="310">
        <f t="shared" si="27"/>
        <v>464.7</v>
      </c>
      <c r="N115" s="310">
        <f t="shared" si="27"/>
        <v>482</v>
      </c>
      <c r="O115" s="280">
        <f t="shared" si="27"/>
        <v>1842.6000000000001</v>
      </c>
      <c r="P115" s="310">
        <f t="shared" si="27"/>
        <v>449</v>
      </c>
      <c r="Q115" s="310">
        <f t="shared" si="27"/>
        <v>462</v>
      </c>
      <c r="R115" s="310">
        <f t="shared" si="27"/>
        <v>433</v>
      </c>
      <c r="S115" s="310">
        <f t="shared" si="27"/>
        <v>422</v>
      </c>
      <c r="T115" s="280">
        <f t="shared" si="27"/>
        <v>1766</v>
      </c>
      <c r="U115" s="279">
        <f>U116*U121</f>
        <v>465.255</v>
      </c>
      <c r="V115" s="279">
        <f>V116*V121</f>
        <v>512.9436375</v>
      </c>
      <c r="W115" s="279">
        <f>W116*W121</f>
        <v>565.52036034375</v>
      </c>
      <c r="X115" s="279">
        <f>X116*X121</f>
        <v>565.52036034375</v>
      </c>
      <c r="Y115" s="280">
        <f>SUM(U115:X115)</f>
        <v>2109.2393581875</v>
      </c>
      <c r="Z115" s="279">
        <f>Z116*Z121</f>
        <v>623.4861972789844</v>
      </c>
      <c r="AA115" s="279">
        <f>AA116*AA121</f>
        <v>687.3935325000805</v>
      </c>
      <c r="AB115" s="279">
        <f>AB116*AB121</f>
        <v>757.8513695813388</v>
      </c>
      <c r="AC115" s="279">
        <f>AC116*AC121</f>
        <v>835.5311349634262</v>
      </c>
      <c r="AD115" s="280">
        <f>SUM(Z115:AC115)</f>
        <v>2904.2622343238295</v>
      </c>
      <c r="AE115" s="280">
        <f>AE116*AE121</f>
        <v>3201.949113342023</v>
      </c>
      <c r="AF115" s="280">
        <f>AF116*AF121</f>
        <v>3530.1488974595804</v>
      </c>
      <c r="AG115" s="280">
        <f>AG116*AG121</f>
        <v>3891.9891594491874</v>
      </c>
      <c r="AH115" s="8"/>
      <c r="AI115" s="8"/>
      <c r="AJ115" s="8"/>
    </row>
    <row r="116" ht="12.75" customHeight="1" spans="1:36" x14ac:dyDescent="0.25" outlineLevel="1" collapsed="1">
      <c r="A116" s="8"/>
      <c r="B116" s="8"/>
      <c r="C116" s="130" t="s">
        <v>253</v>
      </c>
      <c r="D116" s="8"/>
      <c r="E116" s="160"/>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U116*(1+V117)</f>
        <v>242.55</v>
      </c>
      <c r="W116" s="322">
        <f>V116*(1+W117)</f>
        <v>254.6775</v>
      </c>
      <c r="X116" s="322">
        <f>W116*(1+X117)</f>
        <v>254.6775</v>
      </c>
      <c r="Y116" s="321">
        <f>SUM(U116:X116)</f>
        <v>982.905</v>
      </c>
      <c r="Z116" s="322">
        <f>X116*(1+Z117)</f>
        <v>267.411375</v>
      </c>
      <c r="AA116" s="322">
        <f>Z116*(1+AA117)</f>
        <v>280.78194375000004</v>
      </c>
      <c r="AB116" s="322">
        <f>AA116*(1+AB117)</f>
        <v>294.8210409375001</v>
      </c>
      <c r="AC116" s="322">
        <f>AB116*(1+AC117)</f>
        <v>309.5620929843751</v>
      </c>
      <c r="AD116" s="321">
        <f>SUM(Z116:AC116)</f>
        <v>1152.5764526718754</v>
      </c>
      <c r="AE116" s="321">
        <f>AD116*(1+AE117)</f>
        <v>1210.2052753054693</v>
      </c>
      <c r="AF116" s="321">
        <f>AE116*(1+AF117)</f>
        <v>1270.7155390707428</v>
      </c>
      <c r="AG116" s="321">
        <f>AF116*(1+AG117)</f>
        <v>1334.25131602428</v>
      </c>
      <c r="AH116" s="8"/>
      <c r="AI116" s="8"/>
      <c r="AJ116" s="8"/>
    </row>
    <row r="117" ht="12.75" customHeight="1" spans="1:36" x14ac:dyDescent="0.25" outlineLevel="1" collapsed="1">
      <c r="A117" s="8"/>
      <c r="B117" s="8"/>
      <c r="C117" s="111" t="s">
        <v>254</v>
      </c>
      <c r="D117" s="8"/>
      <c r="E117" s="160"/>
      <c r="F117" s="312"/>
      <c r="G117" s="311">
        <f>IFERROR(G116/F116-1,"--")</f>
        <v>0</v>
      </c>
      <c r="H117" s="311">
        <f>IFERROR(H116/G116-1,"--")</f>
        <v>0</v>
      </c>
      <c r="I117" s="311">
        <f>IFERROR(I116/H116-1,"--")</f>
        <v>0</v>
      </c>
      <c r="J117" s="160"/>
      <c r="K117" s="311">
        <f>IFERROR(K116/I116-1,"--")</f>
        <v>0</v>
      </c>
      <c r="L117" s="311">
        <f>IFERROR(L116/K116-1,"--")</f>
        <v>0</v>
      </c>
      <c r="M117" s="311">
        <f>IFERROR(M116/L116-1,"--")</f>
        <v>0</v>
      </c>
      <c r="N117" s="311">
        <f>IFERROR(N116/M116-1,"--")</f>
        <v>0</v>
      </c>
      <c r="O117" s="299">
        <f>IFERROR(O116/J116-1,"--")</f>
        <v>0</v>
      </c>
      <c r="P117" s="311">
        <f>IFERROR(P116/N116-1,"--")</f>
        <v>0</v>
      </c>
      <c r="Q117" s="311">
        <f>IFERROR(Q116/P116-1,"--")</f>
        <v>0</v>
      </c>
      <c r="R117" s="311">
        <f>IFERROR(R116/Q116-1,"--")</f>
        <v>0</v>
      </c>
      <c r="S117" s="311">
        <f>IFERROR(S116/R116-1,"--")</f>
        <v>0</v>
      </c>
      <c r="T117" s="299">
        <f>IFERROR(T116/O116-1,"--")</f>
        <v>0</v>
      </c>
      <c r="U117" s="298">
        <f>IF(Case_Scenario="Bull",U118,IF(Case_Scenario="Base",U119,IF(Case_Scenario="bear",U120,"N/A")))</f>
        <v>0.05</v>
      </c>
      <c r="V117" s="298">
        <f>IF(Case_Scenario="Bull",V118,IF(Case_Scenario="Base",V119,IF(Case_Scenario="bear",V120,"N/A")))</f>
        <v>0.05</v>
      </c>
      <c r="W117" s="298">
        <f>IF(Case_Scenario="Bull",W118,IF(Case_Scenario="Base",W119,IF(Case_Scenario="bear",W120,"N/A")))</f>
        <v>0.05</v>
      </c>
      <c r="X117" s="298">
        <f>IF(Case_Scenario="Bull",X118,IF(Case_Scenario="Base",X119,IF(Case_Scenario="bear",X120,"N/A")))</f>
        <v>0</v>
      </c>
      <c r="Y117" s="299"/>
      <c r="Z117" s="298">
        <f>IF(Case_Scenario="Bull",Z118,IF(Case_Scenario="Base",Z119,IF(Case_Scenario="bear",Z120,"N/A")))</f>
        <v>0.05</v>
      </c>
      <c r="AA117" s="298">
        <f>IF(Case_Scenario="Bull",AA118,IF(Case_Scenario="Base",AA119,IF(Case_Scenario="bear",AA120,"N/A")))</f>
        <v>0.05</v>
      </c>
      <c r="AB117" s="298">
        <f>IF(Case_Scenario="Bull",AB118,IF(Case_Scenario="Base",AB119,IF(Case_Scenario="bear",AB120,"N/A")))</f>
        <v>0.05</v>
      </c>
      <c r="AC117" s="298">
        <f>IF(Case_Scenario="Bull",AC118,IF(Case_Scenario="Base",AC119,IF(Case_Scenario="bear",AC120,"N/A")))</f>
        <v>0.05</v>
      </c>
      <c r="AD117" s="299"/>
      <c r="AE117" s="299">
        <f>IF(Case_Scenario="Bull",AE118,IF(Case_Scenario="Base",AE119,IF(Case_Scenario="bear",AE120,"N/A")))</f>
        <v>0.05</v>
      </c>
      <c r="AF117" s="299">
        <f>IF(Case_Scenario="Bull",AF118,IF(Case_Scenario="Base",AF119,IF(Case_Scenario="bear",AF120,"N/A")))</f>
        <v>0.05</v>
      </c>
      <c r="AG117" s="299">
        <f>IF(Case_Scenario="Bull",AG118,IF(Case_Scenario="Base",AG119,IF(Case_Scenario="bear",AG120,"N/A")))</f>
        <v>0.05</v>
      </c>
      <c r="AH117" s="8"/>
      <c r="AI117" s="8"/>
      <c r="AJ117" s="8"/>
    </row>
    <row r="118" ht="12.75" customHeight="1" spans="1:36" x14ac:dyDescent="0.25" outlineLevel="1" collapsed="1">
      <c r="A118" s="8"/>
      <c r="B118" s="8"/>
      <c r="C118" s="130" t="s">
        <v>249</v>
      </c>
      <c r="D118" s="8"/>
      <c r="E118" s="160"/>
      <c r="F118" s="312"/>
      <c r="G118" s="312"/>
      <c r="H118" s="312"/>
      <c r="I118" s="312"/>
      <c r="J118" s="160"/>
      <c r="K118" s="312"/>
      <c r="L118" s="312"/>
      <c r="M118" s="312"/>
      <c r="N118" s="312"/>
      <c r="O118" s="160"/>
      <c r="P118" s="312"/>
      <c r="Q118" s="312"/>
      <c r="R118" s="312"/>
      <c r="S118" s="312"/>
      <c r="T118" s="160"/>
      <c r="U118" s="313">
        <v>0.1</v>
      </c>
      <c r="V118" s="313">
        <v>0.1</v>
      </c>
      <c r="W118" s="313">
        <v>0.1</v>
      </c>
      <c r="X118" s="313">
        <v>0</v>
      </c>
      <c r="Y118" s="314"/>
      <c r="Z118" s="313">
        <v>0.1</v>
      </c>
      <c r="AA118" s="313">
        <v>0.1</v>
      </c>
      <c r="AB118" s="313">
        <v>0.1</v>
      </c>
      <c r="AC118" s="313">
        <v>0.1</v>
      </c>
      <c r="AD118" s="314"/>
      <c r="AE118" s="314">
        <v>0.1</v>
      </c>
      <c r="AF118" s="314">
        <v>0.1</v>
      </c>
      <c r="AG118" s="314">
        <v>0.1</v>
      </c>
      <c r="AH118" s="8"/>
      <c r="AI118" s="8"/>
      <c r="AJ118" s="8"/>
    </row>
    <row r="119" ht="12.75" customHeight="1" spans="1:36" x14ac:dyDescent="0.25" outlineLevel="1" collapsed="1">
      <c r="A119" s="8"/>
      <c r="B119" s="8"/>
      <c r="C119" s="130" t="s">
        <v>250</v>
      </c>
      <c r="D119" s="8"/>
      <c r="E119" s="160"/>
      <c r="F119" s="312"/>
      <c r="G119" s="312"/>
      <c r="H119" s="312"/>
      <c r="I119" s="312"/>
      <c r="J119" s="160"/>
      <c r="K119" s="312"/>
      <c r="L119" s="312"/>
      <c r="M119" s="312"/>
      <c r="N119" s="312"/>
      <c r="O119" s="160"/>
      <c r="P119" s="312"/>
      <c r="Q119" s="312"/>
      <c r="R119" s="312"/>
      <c r="S119" s="312"/>
      <c r="T119" s="160"/>
      <c r="U119" s="313">
        <v>0.05</v>
      </c>
      <c r="V119" s="313">
        <v>0.05</v>
      </c>
      <c r="W119" s="313">
        <v>0.05</v>
      </c>
      <c r="X119" s="313">
        <v>0</v>
      </c>
      <c r="Y119" s="314"/>
      <c r="Z119" s="313">
        <v>0.05</v>
      </c>
      <c r="AA119" s="313">
        <v>0.05</v>
      </c>
      <c r="AB119" s="313">
        <v>0.05</v>
      </c>
      <c r="AC119" s="313">
        <v>0.05</v>
      </c>
      <c r="AD119" s="314"/>
      <c r="AE119" s="314">
        <v>0.05</v>
      </c>
      <c r="AF119" s="314">
        <v>0.05</v>
      </c>
      <c r="AG119" s="314">
        <v>0.05</v>
      </c>
      <c r="AH119" s="8"/>
      <c r="AI119" s="8"/>
      <c r="AJ119" s="8"/>
    </row>
    <row r="120" ht="12.75" customHeight="1" spans="1:36" x14ac:dyDescent="0.25" outlineLevel="1" collapsed="1">
      <c r="A120" s="8"/>
      <c r="B120" s="8"/>
      <c r="C120" s="130" t="s">
        <v>251</v>
      </c>
      <c r="D120" s="8"/>
      <c r="E120" s="160"/>
      <c r="F120" s="312"/>
      <c r="G120" s="312"/>
      <c r="H120" s="312"/>
      <c r="I120" s="312"/>
      <c r="J120" s="160"/>
      <c r="K120" s="312"/>
      <c r="L120" s="312"/>
      <c r="M120" s="312"/>
      <c r="N120" s="312"/>
      <c r="O120" s="160"/>
      <c r="P120" s="312"/>
      <c r="Q120" s="312"/>
      <c r="R120" s="312"/>
      <c r="S120" s="312"/>
      <c r="T120" s="160"/>
      <c r="U120" s="313">
        <v>0</v>
      </c>
      <c r="V120" s="313">
        <v>0</v>
      </c>
      <c r="W120" s="313">
        <v>0</v>
      </c>
      <c r="X120" s="313">
        <v>0</v>
      </c>
      <c r="Y120" s="314"/>
      <c r="Z120" s="313">
        <v>0</v>
      </c>
      <c r="AA120" s="313">
        <v>0</v>
      </c>
      <c r="AB120" s="313">
        <v>0</v>
      </c>
      <c r="AC120" s="313">
        <v>0</v>
      </c>
      <c r="AD120" s="314"/>
      <c r="AE120" s="314">
        <v>0</v>
      </c>
      <c r="AF120" s="314">
        <v>0</v>
      </c>
      <c r="AG120" s="314">
        <v>0</v>
      </c>
      <c r="AH120" s="8"/>
      <c r="AI120" s="8"/>
      <c r="AJ120" s="8"/>
    </row>
    <row r="121" ht="12.75" customHeight="1" spans="1:36" x14ac:dyDescent="0.25" outlineLevel="1" collapsed="1">
      <c r="A121" s="8"/>
      <c r="B121" s="8"/>
      <c r="C121" s="130" t="s">
        <v>163</v>
      </c>
      <c r="D121" s="8"/>
      <c r="E121" s="160"/>
      <c r="F121" s="310">
        <f t="shared" ref="F121:T121" si="28">IFERROR(F115/F116,"--")</f>
        <v>1.855909090909091</v>
      </c>
      <c r="G121" s="310">
        <f t="shared" si="28"/>
        <v>1.8104545454545455</v>
      </c>
      <c r="H121" s="310">
        <f t="shared" si="28"/>
        <v>1.84</v>
      </c>
      <c r="I121" s="310">
        <f t="shared" si="28"/>
        <v>1.879090909090909</v>
      </c>
      <c r="J121" s="280">
        <f t="shared" si="28"/>
        <v>1.8463636363636367</v>
      </c>
      <c r="K121" s="310">
        <f t="shared" si="28"/>
        <v>1.924090909090909</v>
      </c>
      <c r="L121" s="310">
        <f t="shared" si="28"/>
        <v>2.1481818181818184</v>
      </c>
      <c r="M121" s="310">
        <f t="shared" si="28"/>
        <v>2.1122727272727273</v>
      </c>
      <c r="N121" s="310">
        <f t="shared" si="28"/>
        <v>2.190909090909091</v>
      </c>
      <c r="O121" s="280">
        <f t="shared" si="28"/>
        <v>2.0938636363636367</v>
      </c>
      <c r="P121" s="310">
        <f t="shared" si="28"/>
        <v>2.040909090909091</v>
      </c>
      <c r="Q121" s="310">
        <f t="shared" si="28"/>
        <v>2.1</v>
      </c>
      <c r="R121" s="310">
        <f t="shared" si="28"/>
        <v>1.9681818181818183</v>
      </c>
      <c r="S121" s="310">
        <f t="shared" si="28"/>
        <v>1.9181818181818182</v>
      </c>
      <c r="T121" s="280">
        <f t="shared" si="28"/>
        <v>2.006818181818182</v>
      </c>
      <c r="U121" s="279">
        <f>S121*(1+U122)</f>
        <v>2.014090909090909</v>
      </c>
      <c r="V121" s="279">
        <f>U121*(1+V122)</f>
        <v>2.1147954545454546</v>
      </c>
      <c r="W121" s="279">
        <f>V121*(1+W122)</f>
        <v>2.2205352272727272</v>
      </c>
      <c r="X121" s="279">
        <f>W121*(1+X122)</f>
        <v>2.2205352272727272</v>
      </c>
      <c r="Y121" s="280">
        <f>Y115/Y116</f>
        <v>2.14592392773208</v>
      </c>
      <c r="Z121" s="279">
        <f>X121*(1+Z122)</f>
        <v>2.3315619886363637</v>
      </c>
      <c r="AA121" s="279">
        <f>Z121*(1+AA122)</f>
        <v>2.448140088068182</v>
      </c>
      <c r="AB121" s="279">
        <f>AA121*(1+AB122)</f>
        <v>2.570547092471591</v>
      </c>
      <c r="AC121" s="279">
        <f>AB121*(1+AC122)</f>
        <v>2.699074447095171</v>
      </c>
      <c r="AD121" s="280">
        <f>AD115/AD116</f>
        <v>2.5198000771152644</v>
      </c>
      <c r="AE121" s="280">
        <f>AD121*(1+AE122)</f>
        <v>2.645790080971028</v>
      </c>
      <c r="AF121" s="280">
        <f>AE121*(1+AF122)</f>
        <v>2.7780795850195794</v>
      </c>
      <c r="AG121" s="280">
        <f>AF121*(1+AG122)</f>
        <v>2.9169835642705584</v>
      </c>
      <c r="AH121" s="8"/>
      <c r="AI121" s="8"/>
      <c r="AJ121" s="8"/>
    </row>
    <row r="122" ht="12.75" customHeight="1" spans="1:36" x14ac:dyDescent="0.25" outlineLevel="1" collapsed="1">
      <c r="A122" s="8"/>
      <c r="B122" s="8"/>
      <c r="C122" s="111" t="s">
        <v>255</v>
      </c>
      <c r="D122" s="8"/>
      <c r="E122" s="160"/>
      <c r="F122" s="312"/>
      <c r="G122" s="311">
        <f>IFERROR(G121/F121-1,"--")</f>
        <v>-0.024491795248591686</v>
      </c>
      <c r="H122" s="311">
        <f>IFERROR(H121/G121-1,"--")</f>
        <v>0.016319357268390622</v>
      </c>
      <c r="I122" s="311">
        <f>IFERROR(I121/H121-1,"--")</f>
        <v>0.02124505928853737</v>
      </c>
      <c r="J122" s="160"/>
      <c r="K122" s="311">
        <f>IFERROR(K121/I121-1,"--")</f>
        <v>0.02394775036284469</v>
      </c>
      <c r="L122" s="311">
        <f>IFERROR(L121/K121-1,"--")</f>
        <v>0.11646586345381538</v>
      </c>
      <c r="M122" s="311">
        <f>IFERROR(M121/L121-1,"--")</f>
        <v>-0.016716038933559108</v>
      </c>
      <c r="N122" s="311">
        <f>IFERROR(N121/M121-1,"--")</f>
        <v>0.0372283193458145</v>
      </c>
      <c r="O122" s="299">
        <f>IFERROR(O121/J121-1,"--")</f>
        <v>0.13404726735598227</v>
      </c>
      <c r="P122" s="311">
        <f>IFERROR(P121/N121-1,"--")</f>
        <v>-0.06846473029045641</v>
      </c>
      <c r="Q122" s="311">
        <f>IFERROR(Q121/P121-1,"--")</f>
        <v>0.028953229398663627</v>
      </c>
      <c r="R122" s="311">
        <f>IFERROR(R121/Q121-1,"--")</f>
        <v>-0.06277056277056281</v>
      </c>
      <c r="S122" s="311">
        <f>IFERROR(S121/R121-1,"--")</f>
        <v>-0.025404157043879882</v>
      </c>
      <c r="T122" s="299">
        <f>IFERROR(T121/O121-1,"--")</f>
        <v>-0.04157169217410195</v>
      </c>
      <c r="U122" s="298">
        <f>IF(Case_Scenario="Bull",U123,IF(Case_Scenario="Base",U124,IF(Case_Scenario="bear",U125,"N/A")))</f>
        <v>0.05</v>
      </c>
      <c r="V122" s="298">
        <f>IF(Case_Scenario="Bull",V123,IF(Case_Scenario="Base",V124,IF(Case_Scenario="bear",V125,"N/A")))</f>
        <v>0.05</v>
      </c>
      <c r="W122" s="298">
        <f>IF(Case_Scenario="Bull",W123,IF(Case_Scenario="Base",W124,IF(Case_Scenario="bear",W125,"N/A")))</f>
        <v>0.05</v>
      </c>
      <c r="X122" s="298">
        <f>IF(Case_Scenario="Bull",X123,IF(Case_Scenario="Base",X124,IF(Case_Scenario="bear",X125,"N/A")))</f>
        <v>0</v>
      </c>
      <c r="Y122" s="299"/>
      <c r="Z122" s="298">
        <f>IF(Case_Scenario="Bull",Z123,IF(Case_Scenario="Base",Z124,IF(Case_Scenario="bear",Z125,"N/A")))</f>
        <v>0.05</v>
      </c>
      <c r="AA122" s="298">
        <f>IF(Case_Scenario="Bull",AA123,IF(Case_Scenario="Base",AA124,IF(Case_Scenario="bear",AA125,"N/A")))</f>
        <v>0.05</v>
      </c>
      <c r="AB122" s="298">
        <f>IF(Case_Scenario="Bull",AB123,IF(Case_Scenario="Base",AB124,IF(Case_Scenario="bear",AB125,"N/A")))</f>
        <v>0.05</v>
      </c>
      <c r="AC122" s="298">
        <f>IF(Case_Scenario="Bull",AC123,IF(Case_Scenario="Base",AC124,IF(Case_Scenario="bear",AC125,"N/A")))</f>
        <v>0.05</v>
      </c>
      <c r="AD122" s="299"/>
      <c r="AE122" s="299">
        <f>IF(Case_Scenario="Bull",AE123,IF(Case_Scenario="Base",AE124,IF(Case_Scenario="bear",AE125,"N/A")))</f>
        <v>0.05</v>
      </c>
      <c r="AF122" s="299">
        <f>IF(Case_Scenario="Bull",AF123,IF(Case_Scenario="Base",AF124,IF(Case_Scenario="bear",AF125,"N/A")))</f>
        <v>0.05</v>
      </c>
      <c r="AG122" s="299">
        <f>IF(Case_Scenario="Bull",AG123,IF(Case_Scenario="Base",AG124,IF(Case_Scenario="bear",AG125,"N/A")))</f>
        <v>0.05</v>
      </c>
      <c r="AH122" s="8"/>
      <c r="AI122" s="8"/>
      <c r="AJ122" s="8"/>
    </row>
    <row r="123" ht="12.75" customHeight="1" spans="1:36" x14ac:dyDescent="0.25" outlineLevel="1" collapsed="1">
      <c r="A123" s="8"/>
      <c r="B123" s="8"/>
      <c r="C123" s="130" t="s">
        <v>249</v>
      </c>
      <c r="D123" s="8"/>
      <c r="E123" s="160"/>
      <c r="F123" s="312"/>
      <c r="G123" s="312"/>
      <c r="H123" s="312"/>
      <c r="I123" s="312"/>
      <c r="J123" s="160"/>
      <c r="K123" s="312"/>
      <c r="L123" s="312"/>
      <c r="M123" s="312"/>
      <c r="N123" s="312"/>
      <c r="O123" s="160"/>
      <c r="P123" s="312"/>
      <c r="Q123" s="312"/>
      <c r="R123" s="312"/>
      <c r="S123" s="312"/>
      <c r="T123" s="160"/>
      <c r="U123" s="313">
        <v>0.1</v>
      </c>
      <c r="V123" s="313">
        <v>0.1</v>
      </c>
      <c r="W123" s="313">
        <v>0.1</v>
      </c>
      <c r="X123" s="313">
        <v>0</v>
      </c>
      <c r="Y123" s="314"/>
      <c r="Z123" s="313">
        <v>0.1</v>
      </c>
      <c r="AA123" s="313">
        <v>0.1</v>
      </c>
      <c r="AB123" s="313">
        <v>0.1</v>
      </c>
      <c r="AC123" s="313">
        <v>0.1</v>
      </c>
      <c r="AD123" s="314"/>
      <c r="AE123" s="314">
        <v>0.1</v>
      </c>
      <c r="AF123" s="314">
        <v>0.1</v>
      </c>
      <c r="AG123" s="314">
        <v>0.1</v>
      </c>
      <c r="AH123" s="8"/>
      <c r="AI123" s="8"/>
      <c r="AJ123" s="8"/>
    </row>
    <row r="124" ht="12.75" customHeight="1" spans="1:36" x14ac:dyDescent="0.25" outlineLevel="1" collapsed="1">
      <c r="A124" s="8"/>
      <c r="B124" s="8"/>
      <c r="C124" s="130" t="s">
        <v>250</v>
      </c>
      <c r="D124" s="8"/>
      <c r="E124" s="160"/>
      <c r="F124" s="312"/>
      <c r="G124" s="312"/>
      <c r="H124" s="312"/>
      <c r="I124" s="312"/>
      <c r="J124" s="160"/>
      <c r="K124" s="312"/>
      <c r="L124" s="312"/>
      <c r="M124" s="312"/>
      <c r="N124" s="312"/>
      <c r="O124" s="160"/>
      <c r="P124" s="312"/>
      <c r="Q124" s="312"/>
      <c r="R124" s="312"/>
      <c r="S124" s="312"/>
      <c r="T124" s="160"/>
      <c r="U124" s="313">
        <v>0.05</v>
      </c>
      <c r="V124" s="313">
        <v>0.05</v>
      </c>
      <c r="W124" s="313">
        <v>0.05</v>
      </c>
      <c r="X124" s="313">
        <v>0</v>
      </c>
      <c r="Y124" s="314"/>
      <c r="Z124" s="313">
        <v>0.05</v>
      </c>
      <c r="AA124" s="313">
        <v>0.05</v>
      </c>
      <c r="AB124" s="313">
        <v>0.05</v>
      </c>
      <c r="AC124" s="313">
        <v>0.05</v>
      </c>
      <c r="AD124" s="314"/>
      <c r="AE124" s="314">
        <v>0.05</v>
      </c>
      <c r="AF124" s="314">
        <v>0.05</v>
      </c>
      <c r="AG124" s="314">
        <v>0.05</v>
      </c>
      <c r="AH124" s="8"/>
      <c r="AI124" s="8"/>
      <c r="AJ124" s="8"/>
    </row>
    <row r="125" ht="12.75" customHeight="1" spans="1:36" x14ac:dyDescent="0.25" outlineLevel="1" collapsed="1">
      <c r="A125" s="8"/>
      <c r="B125" s="8"/>
      <c r="C125" s="130" t="s">
        <v>251</v>
      </c>
      <c r="D125" s="8"/>
      <c r="E125" s="160"/>
      <c r="F125" s="312"/>
      <c r="G125" s="312"/>
      <c r="H125" s="312"/>
      <c r="I125" s="312"/>
      <c r="J125" s="160"/>
      <c r="K125" s="312"/>
      <c r="L125" s="312"/>
      <c r="M125" s="312"/>
      <c r="N125" s="312"/>
      <c r="O125" s="160"/>
      <c r="P125" s="312"/>
      <c r="Q125" s="312"/>
      <c r="R125" s="312"/>
      <c r="S125" s="312"/>
      <c r="T125" s="160"/>
      <c r="U125" s="313">
        <v>0</v>
      </c>
      <c r="V125" s="313">
        <v>0</v>
      </c>
      <c r="W125" s="313">
        <v>0</v>
      </c>
      <c r="X125" s="313">
        <v>0</v>
      </c>
      <c r="Y125" s="314"/>
      <c r="Z125" s="313">
        <v>0</v>
      </c>
      <c r="AA125" s="313">
        <v>0</v>
      </c>
      <c r="AB125" s="313">
        <v>0</v>
      </c>
      <c r="AC125" s="313">
        <v>0</v>
      </c>
      <c r="AD125" s="314"/>
      <c r="AE125" s="314">
        <v>0</v>
      </c>
      <c r="AF125" s="314">
        <v>0</v>
      </c>
      <c r="AG125" s="314">
        <v>0</v>
      </c>
      <c r="AH125" s="8"/>
      <c r="AI125" s="8"/>
      <c r="AJ125" s="8"/>
    </row>
    <row r="126" ht="12.75" customHeight="1" spans="1:36" x14ac:dyDescent="0.25" outlineLevel="1" collapsed="1">
      <c r="A126" s="8"/>
      <c r="B126" s="8"/>
      <c r="C126" s="130"/>
      <c r="D126" s="8"/>
      <c r="E126" s="160"/>
      <c r="F126" s="312"/>
      <c r="G126" s="312"/>
      <c r="H126" s="312"/>
      <c r="I126" s="312"/>
      <c r="J126" s="160"/>
      <c r="K126" s="312"/>
      <c r="L126" s="312"/>
      <c r="M126" s="312"/>
      <c r="N126" s="312"/>
      <c r="O126" s="160"/>
      <c r="P126" s="312"/>
      <c r="Q126" s="312"/>
      <c r="R126" s="312"/>
      <c r="S126" s="312"/>
      <c r="T126" s="160"/>
      <c r="U126" s="315"/>
      <c r="V126" s="315"/>
      <c r="W126" s="315"/>
      <c r="X126" s="315"/>
      <c r="Y126" s="160"/>
      <c r="Z126" s="315"/>
      <c r="AA126" s="315"/>
      <c r="AB126" s="315"/>
      <c r="AC126" s="315"/>
      <c r="AD126" s="160"/>
      <c r="AE126" s="160"/>
      <c r="AF126" s="160"/>
      <c r="AG126" s="160"/>
      <c r="AH126" s="8"/>
      <c r="AI126" s="8"/>
      <c r="AJ126" s="8"/>
    </row>
    <row r="127" ht="12.75" customHeight="1" spans="1:36" x14ac:dyDescent="0.25" outlineLevel="1" collapsed="1">
      <c r="A127" s="257" t="s">
        <v>3</v>
      </c>
      <c r="B127" s="8"/>
      <c r="C127" s="130" t="str">
        <f>C41</f>
        <v>Transfer Revenue</v>
      </c>
      <c r="D127" s="8"/>
      <c r="E127" s="160"/>
      <c r="F127" s="310">
        <f t="shared" ref="F127:T127" si="29">F41</f>
        <v>173.3</v>
      </c>
      <c r="G127" s="310">
        <f t="shared" si="29"/>
        <v>197.3</v>
      </c>
      <c r="H127" s="310">
        <f t="shared" si="29"/>
        <v>206.2</v>
      </c>
      <c r="I127" s="310">
        <f t="shared" si="29"/>
        <v>188.2</v>
      </c>
      <c r="J127" s="280">
        <f t="shared" si="29"/>
        <v>765</v>
      </c>
      <c r="K127" s="310">
        <f t="shared" si="29"/>
        <v>182.8</v>
      </c>
      <c r="L127" s="310">
        <f t="shared" si="29"/>
        <v>208.2</v>
      </c>
      <c r="M127" s="310">
        <f t="shared" si="29"/>
        <v>211.6</v>
      </c>
      <c r="N127" s="310">
        <f t="shared" si="29"/>
        <v>203</v>
      </c>
      <c r="O127" s="280">
        <f t="shared" si="29"/>
        <v>805.6</v>
      </c>
      <c r="P127" s="310">
        <f t="shared" si="29"/>
        <v>188</v>
      </c>
      <c r="Q127" s="310">
        <f t="shared" si="29"/>
        <v>221</v>
      </c>
      <c r="R127" s="310">
        <f t="shared" si="29"/>
        <v>224</v>
      </c>
      <c r="S127" s="310">
        <f t="shared" si="29"/>
        <v>214</v>
      </c>
      <c r="T127" s="280">
        <f t="shared" si="29"/>
        <v>847</v>
      </c>
      <c r="U127" s="279">
        <f>U128*U133</f>
        <v>235.93500000000003</v>
      </c>
      <c r="V127" s="279">
        <f>V128*V133</f>
        <v>260.11833750000005</v>
      </c>
      <c r="W127" s="279">
        <f>W128*W133</f>
        <v>286.7804670937501</v>
      </c>
      <c r="X127" s="279">
        <f>X128*X133</f>
        <v>286.7804670937501</v>
      </c>
      <c r="Y127" s="280">
        <f>SUM(U127:X127)</f>
        <v>1069.6142716875001</v>
      </c>
      <c r="Z127" s="279">
        <f>Z128*Z133</f>
        <v>316.1754649708595</v>
      </c>
      <c r="AA127" s="279">
        <f>AA128*AA133</f>
        <v>348.5834501303726</v>
      </c>
      <c r="AB127" s="279">
        <f>AB128*AB133</f>
        <v>384.3132537687359</v>
      </c>
      <c r="AC127" s="279">
        <f>AC128*AC133</f>
        <v>423.70536228003135</v>
      </c>
      <c r="AD127" s="280">
        <f>SUM(Z127:AC127)</f>
        <v>1472.7775311499993</v>
      </c>
      <c r="AE127" s="280">
        <f>AE128*AE133</f>
        <v>1623.7372280928746</v>
      </c>
      <c r="AF127" s="280">
        <f>AF128*AF133</f>
        <v>1790.1702939723943</v>
      </c>
      <c r="AG127" s="280">
        <f>AG128*AG133</f>
        <v>1973.662749104565</v>
      </c>
      <c r="AH127" s="8"/>
      <c r="AI127" s="8"/>
      <c r="AJ127" s="8"/>
    </row>
    <row r="128" ht="12.75" customHeight="1" spans="1:36" x14ac:dyDescent="0.25" outlineLevel="1" collapsed="1">
      <c r="A128" s="8"/>
      <c r="B128" s="8"/>
      <c r="C128" s="130" t="s">
        <v>253</v>
      </c>
      <c r="D128" s="8"/>
      <c r="E128" s="160"/>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U128*(1+V129)</f>
        <v>242.55</v>
      </c>
      <c r="W128" s="322">
        <f>V128*(1+W129)</f>
        <v>254.6775</v>
      </c>
      <c r="X128" s="322">
        <f>W128*(1+X129)</f>
        <v>254.6775</v>
      </c>
      <c r="Y128" s="321">
        <f>SUM(U128:X128)</f>
        <v>982.905</v>
      </c>
      <c r="Z128" s="322">
        <f>X128*(1+Z129)</f>
        <v>267.411375</v>
      </c>
      <c r="AA128" s="322">
        <f>Z128*(1+AA129)</f>
        <v>280.78194375000004</v>
      </c>
      <c r="AB128" s="322">
        <f>AA128*(1+AB129)</f>
        <v>294.8210409375001</v>
      </c>
      <c r="AC128" s="322">
        <f>AB128*(1+AC129)</f>
        <v>309.5620929843751</v>
      </c>
      <c r="AD128" s="321">
        <f>SUM(Z128:AC128)</f>
        <v>1152.5764526718754</v>
      </c>
      <c r="AE128" s="321">
        <f>AD128*(1+AE129)</f>
        <v>1210.2052753054693</v>
      </c>
      <c r="AF128" s="321">
        <f>AE128*(1+AF129)</f>
        <v>1270.7155390707428</v>
      </c>
      <c r="AG128" s="321">
        <f>AF128*(1+AG129)</f>
        <v>1334.25131602428</v>
      </c>
      <c r="AH128" s="8"/>
      <c r="AI128" s="8"/>
      <c r="AJ128" s="8"/>
    </row>
    <row r="129" ht="12.75" customHeight="1" spans="1:36" x14ac:dyDescent="0.25" outlineLevel="1" collapsed="1">
      <c r="A129" s="8"/>
      <c r="B129" s="8"/>
      <c r="C129" s="111" t="s">
        <v>254</v>
      </c>
      <c r="D129" s="8"/>
      <c r="E129" s="160"/>
      <c r="F129" s="312"/>
      <c r="G129" s="311">
        <f>IFERROR(G128/F128-1,"--")</f>
        <v>0</v>
      </c>
      <c r="H129" s="311">
        <f>IFERROR(H128/G128-1,"--")</f>
        <v>0</v>
      </c>
      <c r="I129" s="311">
        <f>IFERROR(I128/H128-1,"--")</f>
        <v>0</v>
      </c>
      <c r="J129" s="160"/>
      <c r="K129" s="311">
        <f>IFERROR(K128/I128-1,"--")</f>
        <v>0</v>
      </c>
      <c r="L129" s="311">
        <f>IFERROR(L128/K128-1,"--")</f>
        <v>0</v>
      </c>
      <c r="M129" s="311">
        <f>IFERROR(M128/L128-1,"--")</f>
        <v>0</v>
      </c>
      <c r="N129" s="311">
        <f>IFERROR(N128/M128-1,"--")</f>
        <v>0</v>
      </c>
      <c r="O129" s="299">
        <f>IFERROR(O128/J128-1,"--")</f>
        <v>0</v>
      </c>
      <c r="P129" s="311">
        <f>IFERROR(P128/N128-1,"--")</f>
        <v>0</v>
      </c>
      <c r="Q129" s="311">
        <f>IFERROR(Q128/P128-1,"--")</f>
        <v>0</v>
      </c>
      <c r="R129" s="311">
        <f>IFERROR(R128/Q128-1,"--")</f>
        <v>0</v>
      </c>
      <c r="S129" s="311">
        <f>IFERROR(S128/R128-1,"--")</f>
        <v>0</v>
      </c>
      <c r="T129" s="299">
        <f>IFERROR(T128/O128-1,"--")</f>
        <v>0</v>
      </c>
      <c r="U129" s="298">
        <f>IF(Case_Scenario="Bull",U130,IF(Case_Scenario="Base",U131,IF(Case_Scenario="bear",U132,"N/A")))</f>
        <v>0.05</v>
      </c>
      <c r="V129" s="298">
        <f>IF(Case_Scenario="Bull",V130,IF(Case_Scenario="Base",V131,IF(Case_Scenario="bear",V132,"N/A")))</f>
        <v>0.05</v>
      </c>
      <c r="W129" s="298">
        <f>IF(Case_Scenario="Bull",W130,IF(Case_Scenario="Base",W131,IF(Case_Scenario="bear",W132,"N/A")))</f>
        <v>0.05</v>
      </c>
      <c r="X129" s="298">
        <f>IF(Case_Scenario="Bull",X130,IF(Case_Scenario="Base",X131,IF(Case_Scenario="bear",X132,"N/A")))</f>
        <v>0</v>
      </c>
      <c r="Y129" s="299"/>
      <c r="Z129" s="298">
        <f>IF(Case_Scenario="Bull",Z130,IF(Case_Scenario="Base",Z131,IF(Case_Scenario="bear",Z132,"N/A")))</f>
        <v>0.05</v>
      </c>
      <c r="AA129" s="298">
        <f>IF(Case_Scenario="Bull",AA130,IF(Case_Scenario="Base",AA131,IF(Case_Scenario="bear",AA132,"N/A")))</f>
        <v>0.05</v>
      </c>
      <c r="AB129" s="298">
        <f>IF(Case_Scenario="Bull",AB130,IF(Case_Scenario="Base",AB131,IF(Case_Scenario="bear",AB132,"N/A")))</f>
        <v>0.05</v>
      </c>
      <c r="AC129" s="298">
        <f>IF(Case_Scenario="Bull",AC130,IF(Case_Scenario="Base",AC131,IF(Case_Scenario="bear",AC132,"N/A")))</f>
        <v>0.05</v>
      </c>
      <c r="AD129" s="299"/>
      <c r="AE129" s="299">
        <f>IF(Case_Scenario="Bull",AE130,IF(Case_Scenario="Base",AE131,IF(Case_Scenario="bear",AE132,"N/A")))</f>
        <v>0.05</v>
      </c>
      <c r="AF129" s="299">
        <f>IF(Case_Scenario="Bull",AF130,IF(Case_Scenario="Base",AF131,IF(Case_Scenario="bear",AF132,"N/A")))</f>
        <v>0.05</v>
      </c>
      <c r="AG129" s="299">
        <f>IF(Case_Scenario="Bull",AG130,IF(Case_Scenario="Base",AG131,IF(Case_Scenario="bear",AG132,"N/A")))</f>
        <v>0.05</v>
      </c>
      <c r="AH129" s="8"/>
      <c r="AI129" s="8"/>
      <c r="AJ129" s="8"/>
    </row>
    <row r="130" ht="12.75" customHeight="1" spans="1:36" x14ac:dyDescent="0.25" outlineLevel="1" collapsed="1">
      <c r="A130" s="8"/>
      <c r="B130" s="8"/>
      <c r="C130" s="130" t="s">
        <v>249</v>
      </c>
      <c r="D130" s="8"/>
      <c r="E130" s="160"/>
      <c r="F130" s="312"/>
      <c r="G130" s="312"/>
      <c r="H130" s="312"/>
      <c r="I130" s="312"/>
      <c r="J130" s="160"/>
      <c r="K130" s="312"/>
      <c r="L130" s="312"/>
      <c r="M130" s="312"/>
      <c r="N130" s="312"/>
      <c r="O130" s="160"/>
      <c r="P130" s="312"/>
      <c r="Q130" s="312"/>
      <c r="R130" s="312"/>
      <c r="S130" s="312"/>
      <c r="T130" s="160"/>
      <c r="U130" s="313">
        <v>0.1</v>
      </c>
      <c r="V130" s="313">
        <v>0.1</v>
      </c>
      <c r="W130" s="313">
        <v>0.1</v>
      </c>
      <c r="X130" s="313">
        <v>0</v>
      </c>
      <c r="Y130" s="314"/>
      <c r="Z130" s="313">
        <v>0.1</v>
      </c>
      <c r="AA130" s="313">
        <v>0.1</v>
      </c>
      <c r="AB130" s="313">
        <v>0.1</v>
      </c>
      <c r="AC130" s="313">
        <v>0.1</v>
      </c>
      <c r="AD130" s="314"/>
      <c r="AE130" s="314">
        <v>0.1</v>
      </c>
      <c r="AF130" s="314">
        <v>0.1</v>
      </c>
      <c r="AG130" s="314">
        <v>0.1</v>
      </c>
      <c r="AH130" s="8"/>
      <c r="AI130" s="8"/>
      <c r="AJ130" s="8"/>
    </row>
    <row r="131" ht="12.75" customHeight="1" spans="1:36" x14ac:dyDescent="0.25" outlineLevel="1" collapsed="1">
      <c r="A131" s="8"/>
      <c r="B131" s="8"/>
      <c r="C131" s="130" t="s">
        <v>250</v>
      </c>
      <c r="D131" s="8"/>
      <c r="E131" s="160"/>
      <c r="F131" s="312"/>
      <c r="G131" s="312"/>
      <c r="H131" s="312"/>
      <c r="I131" s="312"/>
      <c r="J131" s="160"/>
      <c r="K131" s="312"/>
      <c r="L131" s="312"/>
      <c r="M131" s="312"/>
      <c r="N131" s="312"/>
      <c r="O131" s="160"/>
      <c r="P131" s="312"/>
      <c r="Q131" s="312"/>
      <c r="R131" s="312"/>
      <c r="S131" s="312"/>
      <c r="T131" s="160"/>
      <c r="U131" s="313">
        <v>0.05</v>
      </c>
      <c r="V131" s="313">
        <v>0.05</v>
      </c>
      <c r="W131" s="313">
        <v>0.05</v>
      </c>
      <c r="X131" s="313">
        <v>0</v>
      </c>
      <c r="Y131" s="314"/>
      <c r="Z131" s="313">
        <v>0.05</v>
      </c>
      <c r="AA131" s="313">
        <v>0.05</v>
      </c>
      <c r="AB131" s="313">
        <v>0.05</v>
      </c>
      <c r="AC131" s="313">
        <v>0.05</v>
      </c>
      <c r="AD131" s="314"/>
      <c r="AE131" s="314">
        <v>0.05</v>
      </c>
      <c r="AF131" s="314">
        <v>0.05</v>
      </c>
      <c r="AG131" s="314">
        <v>0.05</v>
      </c>
      <c r="AH131" s="8"/>
      <c r="AI131" s="8"/>
      <c r="AJ131" s="8"/>
    </row>
    <row r="132" ht="12.75" customHeight="1" spans="1:36" x14ac:dyDescent="0.25" outlineLevel="1" collapsed="1">
      <c r="A132" s="8"/>
      <c r="B132" s="8"/>
      <c r="C132" s="130" t="s">
        <v>251</v>
      </c>
      <c r="D132" s="8"/>
      <c r="E132" s="160"/>
      <c r="F132" s="312"/>
      <c r="G132" s="312"/>
      <c r="H132" s="312"/>
      <c r="I132" s="312"/>
      <c r="J132" s="160"/>
      <c r="K132" s="312"/>
      <c r="L132" s="312"/>
      <c r="M132" s="312"/>
      <c r="N132" s="312"/>
      <c r="O132" s="160"/>
      <c r="P132" s="312"/>
      <c r="Q132" s="312"/>
      <c r="R132" s="312"/>
      <c r="S132" s="312"/>
      <c r="T132" s="160"/>
      <c r="U132" s="313">
        <v>0</v>
      </c>
      <c r="V132" s="313">
        <v>0</v>
      </c>
      <c r="W132" s="313">
        <v>0</v>
      </c>
      <c r="X132" s="313">
        <v>0</v>
      </c>
      <c r="Y132" s="314"/>
      <c r="Z132" s="313">
        <v>0</v>
      </c>
      <c r="AA132" s="313">
        <v>0</v>
      </c>
      <c r="AB132" s="313">
        <v>0</v>
      </c>
      <c r="AC132" s="313">
        <v>0</v>
      </c>
      <c r="AD132" s="314"/>
      <c r="AE132" s="314">
        <v>0</v>
      </c>
      <c r="AF132" s="314">
        <v>0</v>
      </c>
      <c r="AG132" s="314">
        <v>0</v>
      </c>
      <c r="AH132" s="8"/>
      <c r="AI132" s="8"/>
      <c r="AJ132" s="8"/>
    </row>
    <row r="133" ht="12.75" customHeight="1" spans="1:36" x14ac:dyDescent="0.25" outlineLevel="1" collapsed="1">
      <c r="A133" s="8"/>
      <c r="B133" s="8"/>
      <c r="C133" s="130" t="s">
        <v>163</v>
      </c>
      <c r="D133" s="8"/>
      <c r="E133" s="160"/>
      <c r="F133" s="310">
        <f t="shared" ref="F133:T133" si="30">IFERROR(F127/F128,"--")</f>
        <v>0.7877272727272728</v>
      </c>
      <c r="G133" s="310">
        <f t="shared" si="30"/>
        <v>0.8968181818181818</v>
      </c>
      <c r="H133" s="310">
        <f t="shared" si="30"/>
        <v>0.9372727272727273</v>
      </c>
      <c r="I133" s="310">
        <f t="shared" si="30"/>
        <v>0.8554545454545454</v>
      </c>
      <c r="J133" s="280">
        <f t="shared" si="30"/>
        <v>0.8693181818181818</v>
      </c>
      <c r="K133" s="310">
        <f t="shared" si="30"/>
        <v>0.8309090909090909</v>
      </c>
      <c r="L133" s="310">
        <f t="shared" si="30"/>
        <v>0.9463636363636363</v>
      </c>
      <c r="M133" s="310">
        <f t="shared" si="30"/>
        <v>0.9618181818181818</v>
      </c>
      <c r="N133" s="310">
        <f t="shared" si="30"/>
        <v>0.9227272727272727</v>
      </c>
      <c r="O133" s="280">
        <f t="shared" si="30"/>
        <v>0.9154545454545455</v>
      </c>
      <c r="P133" s="310">
        <f t="shared" si="30"/>
        <v>0.8545454545454545</v>
      </c>
      <c r="Q133" s="310">
        <f t="shared" si="30"/>
        <v>1.0045454545454546</v>
      </c>
      <c r="R133" s="310">
        <f t="shared" si="30"/>
        <v>1.018181818181818</v>
      </c>
      <c r="S133" s="310">
        <f t="shared" si="30"/>
        <v>0.9727272727272728</v>
      </c>
      <c r="T133" s="280">
        <f t="shared" si="30"/>
        <v>0.9625</v>
      </c>
      <c r="U133" s="279">
        <f>S133*(1+U134)</f>
        <v>1.0213636363636365</v>
      </c>
      <c r="V133" s="279">
        <f>U133*(1+V134)</f>
        <v>1.0724318181818184</v>
      </c>
      <c r="W133" s="279">
        <f>V133*(1+W134)</f>
        <v>1.1260534090909093</v>
      </c>
      <c r="X133" s="279">
        <f>W133*(1+X134)</f>
        <v>1.1260534090909093</v>
      </c>
      <c r="Y133" s="280">
        <f>Y127/Y128</f>
        <v>1.088217347238543</v>
      </c>
      <c r="Z133" s="279">
        <f>X133*(1+Z134)</f>
        <v>1.1823560795454549</v>
      </c>
      <c r="AA133" s="279">
        <f>Z133*(1+AA134)</f>
        <v>1.2414738835227277</v>
      </c>
      <c r="AB133" s="279">
        <f>AA133*(1+AB134)</f>
        <v>1.303547577698864</v>
      </c>
      <c r="AC133" s="279">
        <f>AB133*(1+AC134)</f>
        <v>1.3687249565838073</v>
      </c>
      <c r="AD133" s="280">
        <f>AD127/AD128</f>
        <v>1.2778133092480255</v>
      </c>
      <c r="AE133" s="280">
        <f>AD133*(1+AE134)</f>
        <v>1.341703974710427</v>
      </c>
      <c r="AF133" s="280">
        <f>AE133*(1+AF134)</f>
        <v>1.4087891734459483</v>
      </c>
      <c r="AG133" s="280">
        <f>AF133*(1+AG134)</f>
        <v>1.4792286321182457</v>
      </c>
      <c r="AH133" s="8"/>
      <c r="AI133" s="8"/>
      <c r="AJ133" s="8"/>
    </row>
    <row r="134" ht="12.75" customHeight="1" spans="1:36" x14ac:dyDescent="0.25" outlineLevel="1" collapsed="1">
      <c r="A134" s="8"/>
      <c r="B134" s="8"/>
      <c r="C134" s="111" t="s">
        <v>255</v>
      </c>
      <c r="D134" s="8"/>
      <c r="E134" s="160"/>
      <c r="F134" s="312"/>
      <c r="G134" s="311">
        <f>IFERROR(G133/F133-1,"--")</f>
        <v>0.13848817080207732</v>
      </c>
      <c r="H134" s="311">
        <f>IFERROR(H133/G133-1,"--")</f>
        <v>0.0451089711099848</v>
      </c>
      <c r="I134" s="311">
        <f>IFERROR(I133/H133-1,"--")</f>
        <v>-0.08729388942774019</v>
      </c>
      <c r="J134" s="160"/>
      <c r="K134" s="311">
        <f>IFERROR(K133/I133-1,"--")</f>
        <v>-0.028692879914983926</v>
      </c>
      <c r="L134" s="311">
        <f>IFERROR(L133/K133-1,"--")</f>
        <v>0.13894967177242878</v>
      </c>
      <c r="M134" s="311">
        <f>IFERROR(M133/L133-1,"--")</f>
        <v>0.01633045148895307</v>
      </c>
      <c r="N134" s="311">
        <f>IFERROR(N133/M133-1,"--")</f>
        <v>-0.04064272211720221</v>
      </c>
      <c r="O134" s="299">
        <f>IFERROR(O133/J133-1,"--")</f>
        <v>0.05307189542483681</v>
      </c>
      <c r="P134" s="311">
        <f>IFERROR(P133/N133-1,"--")</f>
        <v>-0.07389162561576357</v>
      </c>
      <c r="Q134" s="311">
        <f>IFERROR(Q133/P133-1,"--")</f>
        <v>0.1755319148936172</v>
      </c>
      <c r="R134" s="311">
        <f>IFERROR(R133/Q133-1,"--")</f>
        <v>0.013574660633483893</v>
      </c>
      <c r="S134" s="311">
        <f>IFERROR(S133/R133-1,"--")</f>
        <v>-0.044642857142856984</v>
      </c>
      <c r="T134" s="299">
        <f>IFERROR(T133/O133-1,"--")</f>
        <v>0.05139026812313796</v>
      </c>
      <c r="U134" s="298">
        <f>IF(Case_Scenario="Bull",U135,IF(Case_Scenario="Base",U136,IF(Case_Scenario="bear",U137,"N/A")))</f>
        <v>0.05</v>
      </c>
      <c r="V134" s="298">
        <f>IF(Case_Scenario="Bull",V135,IF(Case_Scenario="Base",V136,IF(Case_Scenario="bear",V137,"N/A")))</f>
        <v>0.05</v>
      </c>
      <c r="W134" s="298">
        <f>IF(Case_Scenario="Bull",W135,IF(Case_Scenario="Base",W136,IF(Case_Scenario="bear",W137,"N/A")))</f>
        <v>0.05</v>
      </c>
      <c r="X134" s="298">
        <f>IF(Case_Scenario="Bull",X135,IF(Case_Scenario="Base",X136,IF(Case_Scenario="bear",X137,"N/A")))</f>
        <v>0</v>
      </c>
      <c r="Y134" s="299"/>
      <c r="Z134" s="298">
        <f>IF(Case_Scenario="Bull",Z135,IF(Case_Scenario="Base",Z136,IF(Case_Scenario="bear",Z137,"N/A")))</f>
        <v>0.05</v>
      </c>
      <c r="AA134" s="298">
        <f>IF(Case_Scenario="Bull",AA135,IF(Case_Scenario="Base",AA136,IF(Case_Scenario="bear",AA137,"N/A")))</f>
        <v>0.05</v>
      </c>
      <c r="AB134" s="298">
        <f>IF(Case_Scenario="Bull",AB135,IF(Case_Scenario="Base",AB136,IF(Case_Scenario="bear",AB137,"N/A")))</f>
        <v>0.05</v>
      </c>
      <c r="AC134" s="298">
        <f>IF(Case_Scenario="Bull",AC135,IF(Case_Scenario="Base",AC136,IF(Case_Scenario="bear",AC137,"N/A")))</f>
        <v>0.05</v>
      </c>
      <c r="AD134" s="299"/>
      <c r="AE134" s="299">
        <f>IF(Case_Scenario="Bull",AE135,IF(Case_Scenario="Base",AE136,IF(Case_Scenario="bear",AE137,"N/A")))</f>
        <v>0.05</v>
      </c>
      <c r="AF134" s="299">
        <f>IF(Case_Scenario="Bull",AF135,IF(Case_Scenario="Base",AF136,IF(Case_Scenario="bear",AF137,"N/A")))</f>
        <v>0.05</v>
      </c>
      <c r="AG134" s="299">
        <f>IF(Case_Scenario="Bull",AG135,IF(Case_Scenario="Base",AG136,IF(Case_Scenario="bear",AG137,"N/A")))</f>
        <v>0.05</v>
      </c>
      <c r="AH134" s="8"/>
      <c r="AI134" s="8"/>
      <c r="AJ134" s="8"/>
    </row>
    <row r="135" ht="12.75" customHeight="1" spans="1:36" x14ac:dyDescent="0.25" outlineLevel="1" collapsed="1">
      <c r="A135" s="8"/>
      <c r="B135" s="8"/>
      <c r="C135" s="130" t="s">
        <v>249</v>
      </c>
      <c r="D135" s="8"/>
      <c r="E135" s="160"/>
      <c r="F135" s="312"/>
      <c r="G135" s="312"/>
      <c r="H135" s="312"/>
      <c r="I135" s="312"/>
      <c r="J135" s="160"/>
      <c r="K135" s="312"/>
      <c r="L135" s="312"/>
      <c r="M135" s="312"/>
      <c r="N135" s="312"/>
      <c r="O135" s="160"/>
      <c r="P135" s="312"/>
      <c r="Q135" s="312"/>
      <c r="R135" s="312"/>
      <c r="S135" s="312"/>
      <c r="T135" s="160"/>
      <c r="U135" s="313">
        <v>0.1</v>
      </c>
      <c r="V135" s="313">
        <v>0.1</v>
      </c>
      <c r="W135" s="313">
        <v>0.1</v>
      </c>
      <c r="X135" s="313">
        <v>0</v>
      </c>
      <c r="Y135" s="314"/>
      <c r="Z135" s="313">
        <v>0.1</v>
      </c>
      <c r="AA135" s="313">
        <v>0.1</v>
      </c>
      <c r="AB135" s="313">
        <v>0.1</v>
      </c>
      <c r="AC135" s="313">
        <v>0.1</v>
      </c>
      <c r="AD135" s="314"/>
      <c r="AE135" s="314">
        <v>0.1</v>
      </c>
      <c r="AF135" s="314">
        <v>0.1</v>
      </c>
      <c r="AG135" s="314">
        <v>0.1</v>
      </c>
      <c r="AH135" s="8"/>
      <c r="AI135" s="8"/>
      <c r="AJ135" s="8"/>
    </row>
    <row r="136" ht="12.75" customHeight="1" spans="1:36" x14ac:dyDescent="0.25" outlineLevel="1" collapsed="1">
      <c r="A136" s="8"/>
      <c r="B136" s="8"/>
      <c r="C136" s="130" t="s">
        <v>250</v>
      </c>
      <c r="D136" s="8"/>
      <c r="E136" s="160"/>
      <c r="F136" s="312"/>
      <c r="G136" s="312"/>
      <c r="H136" s="312"/>
      <c r="I136" s="312"/>
      <c r="J136" s="160"/>
      <c r="K136" s="312"/>
      <c r="L136" s="312"/>
      <c r="M136" s="312"/>
      <c r="N136" s="312"/>
      <c r="O136" s="160"/>
      <c r="P136" s="312"/>
      <c r="Q136" s="312"/>
      <c r="R136" s="312"/>
      <c r="S136" s="312"/>
      <c r="T136" s="160"/>
      <c r="U136" s="313">
        <v>0.05</v>
      </c>
      <c r="V136" s="313">
        <v>0.05</v>
      </c>
      <c r="W136" s="313">
        <v>0.05</v>
      </c>
      <c r="X136" s="313">
        <v>0</v>
      </c>
      <c r="Y136" s="314"/>
      <c r="Z136" s="313">
        <v>0.05</v>
      </c>
      <c r="AA136" s="313">
        <v>0.05</v>
      </c>
      <c r="AB136" s="313">
        <v>0.05</v>
      </c>
      <c r="AC136" s="313">
        <v>0.05</v>
      </c>
      <c r="AD136" s="314"/>
      <c r="AE136" s="314">
        <v>0.05</v>
      </c>
      <c r="AF136" s="314">
        <v>0.05</v>
      </c>
      <c r="AG136" s="314">
        <v>0.05</v>
      </c>
      <c r="AH136" s="8"/>
      <c r="AI136" s="8"/>
      <c r="AJ136" s="8"/>
    </row>
    <row r="137" ht="12.75" customHeight="1" spans="1:36" x14ac:dyDescent="0.25" outlineLevel="1" collapsed="1">
      <c r="A137" s="8"/>
      <c r="B137" s="8"/>
      <c r="C137" s="130" t="s">
        <v>251</v>
      </c>
      <c r="D137" s="8"/>
      <c r="E137" s="160"/>
      <c r="F137" s="312"/>
      <c r="G137" s="312"/>
      <c r="H137" s="312"/>
      <c r="I137" s="312"/>
      <c r="J137" s="160"/>
      <c r="K137" s="312"/>
      <c r="L137" s="312"/>
      <c r="M137" s="312"/>
      <c r="N137" s="312"/>
      <c r="O137" s="160"/>
      <c r="P137" s="312"/>
      <c r="Q137" s="312"/>
      <c r="R137" s="312"/>
      <c r="S137" s="312"/>
      <c r="T137" s="160"/>
      <c r="U137" s="313">
        <v>0</v>
      </c>
      <c r="V137" s="313">
        <v>0</v>
      </c>
      <c r="W137" s="313">
        <v>0</v>
      </c>
      <c r="X137" s="313">
        <v>0</v>
      </c>
      <c r="Y137" s="314"/>
      <c r="Z137" s="313">
        <v>0</v>
      </c>
      <c r="AA137" s="313">
        <v>0</v>
      </c>
      <c r="AB137" s="313">
        <v>0</v>
      </c>
      <c r="AC137" s="313">
        <v>0</v>
      </c>
      <c r="AD137" s="314"/>
      <c r="AE137" s="314">
        <v>0</v>
      </c>
      <c r="AF137" s="314">
        <v>0</v>
      </c>
      <c r="AG137" s="314">
        <v>0</v>
      </c>
      <c r="AH137" s="8"/>
      <c r="AI137" s="8"/>
      <c r="AJ137" s="8"/>
    </row>
    <row r="138" ht="12.75" customHeight="1" spans="1:36" x14ac:dyDescent="0.25" outlineLevel="1" collapsed="1">
      <c r="A138" s="8"/>
      <c r="B138" s="8"/>
      <c r="C138" s="8"/>
      <c r="D138" s="8"/>
      <c r="E138" s="160"/>
      <c r="F138" s="312"/>
      <c r="G138" s="312"/>
      <c r="H138" s="312"/>
      <c r="I138" s="312"/>
      <c r="J138" s="160"/>
      <c r="K138" s="312"/>
      <c r="L138" s="312"/>
      <c r="M138" s="312"/>
      <c r="N138" s="312"/>
      <c r="O138" s="160"/>
      <c r="P138" s="312"/>
      <c r="Q138" s="312"/>
      <c r="R138" s="312"/>
      <c r="S138" s="312"/>
      <c r="T138" s="160"/>
      <c r="U138" s="315"/>
      <c r="V138" s="315"/>
      <c r="W138" s="315"/>
      <c r="X138" s="315"/>
      <c r="Y138" s="160"/>
      <c r="Z138" s="315"/>
      <c r="AA138" s="315"/>
      <c r="AB138" s="315"/>
      <c r="AC138" s="315"/>
      <c r="AD138" s="160"/>
      <c r="AE138" s="160"/>
      <c r="AF138" s="160"/>
      <c r="AG138" s="160"/>
      <c r="AH138" s="8"/>
      <c r="AI138" s="8"/>
      <c r="AJ138" s="8"/>
    </row>
    <row r="139" ht="12.75" customHeight="1" spans="1:36" x14ac:dyDescent="0.25" outlineLevel="1" collapsed="1">
      <c r="A139" s="257" t="s">
        <v>3</v>
      </c>
      <c r="B139" s="8"/>
      <c r="C139" s="130" t="str">
        <f>C44</f>
        <v>Other Revenue</v>
      </c>
      <c r="D139" s="8"/>
      <c r="E139" s="160"/>
      <c r="F139" s="310">
        <f t="shared" ref="F139:T139" si="31">F44</f>
        <v>148.5</v>
      </c>
      <c r="G139" s="310">
        <f t="shared" si="31"/>
        <v>156.3</v>
      </c>
      <c r="H139" s="310">
        <f t="shared" si="31"/>
        <v>162.1</v>
      </c>
      <c r="I139" s="310">
        <f t="shared" si="31"/>
        <v>175.4</v>
      </c>
      <c r="J139" s="280">
        <f t="shared" si="31"/>
        <v>642.3</v>
      </c>
      <c r="K139" s="310">
        <f t="shared" si="31"/>
        <v>188.4</v>
      </c>
      <c r="L139" s="310">
        <f t="shared" si="31"/>
        <v>204.2</v>
      </c>
      <c r="M139" s="310">
        <f t="shared" si="31"/>
        <v>205.3</v>
      </c>
      <c r="N139" s="310">
        <f t="shared" si="31"/>
        <v>190</v>
      </c>
      <c r="O139" s="280">
        <f t="shared" si="31"/>
        <v>787.9000000000001</v>
      </c>
      <c r="P139" s="310">
        <f t="shared" si="31"/>
        <v>208</v>
      </c>
      <c r="Q139" s="310">
        <f t="shared" si="31"/>
        <v>214</v>
      </c>
      <c r="R139" s="310">
        <f t="shared" si="31"/>
        <v>204</v>
      </c>
      <c r="S139" s="310">
        <f t="shared" si="31"/>
        <v>200</v>
      </c>
      <c r="T139" s="280">
        <f t="shared" si="31"/>
        <v>826</v>
      </c>
      <c r="U139" s="279">
        <f>U140*U145</f>
        <v>220.5</v>
      </c>
      <c r="V139" s="279">
        <f>V140*V145</f>
        <v>243.10125000000005</v>
      </c>
      <c r="W139" s="279">
        <f>W140*W145</f>
        <v>268.01912812500007</v>
      </c>
      <c r="X139" s="279">
        <f>X140*X145</f>
        <v>281.4200845312501</v>
      </c>
      <c r="Y139" s="280">
        <f>SUM(U139:X139)</f>
        <v>1013.0404626562502</v>
      </c>
      <c r="Z139" s="279">
        <f>Z140*Z145</f>
        <v>310.26564319570326</v>
      </c>
      <c r="AA139" s="279">
        <f>AA140*AA145</f>
        <v>342.06787162326293</v>
      </c>
      <c r="AB139" s="279">
        <f>AB140*AB145</f>
        <v>377.1298284646474</v>
      </c>
      <c r="AC139" s="279">
        <f>AC140*AC145</f>
        <v>415.7856358822739</v>
      </c>
      <c r="AD139" s="280">
        <f>SUM(Z139:AC139)</f>
        <v>1445.2489791658875</v>
      </c>
      <c r="AE139" s="280">
        <f>AE140*AE145</f>
        <v>1593.386999530391</v>
      </c>
      <c r="AF139" s="280">
        <f>AF140*AF145</f>
        <v>1756.7091669822562</v>
      </c>
      <c r="AG139" s="280">
        <f>AG140*AG145</f>
        <v>1936.7718565979374</v>
      </c>
      <c r="AH139" s="8"/>
      <c r="AI139" s="8"/>
      <c r="AJ139" s="8"/>
    </row>
    <row r="140" ht="12.75" customHeight="1" spans="1:36" x14ac:dyDescent="0.25" outlineLevel="1" collapsed="1">
      <c r="A140" s="8"/>
      <c r="B140" s="8"/>
      <c r="C140" s="130" t="s">
        <v>253</v>
      </c>
      <c r="D140" s="8"/>
      <c r="E140" s="160"/>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U140*(1+V141)</f>
        <v>242.55</v>
      </c>
      <c r="W140" s="322">
        <f>V140*(1+W141)</f>
        <v>254.6775</v>
      </c>
      <c r="X140" s="322">
        <f>W140*(1+X141)</f>
        <v>267.411375</v>
      </c>
      <c r="Y140" s="321">
        <f>SUM(U140:X140)</f>
        <v>995.638875</v>
      </c>
      <c r="Z140" s="322">
        <f>X140*(1+Z141)</f>
        <v>280.78194375000004</v>
      </c>
      <c r="AA140" s="322">
        <f>Z140*(1+AA141)</f>
        <v>294.8210409375001</v>
      </c>
      <c r="AB140" s="322">
        <f>AA140*(1+AB141)</f>
        <v>309.5620929843751</v>
      </c>
      <c r="AC140" s="322">
        <f>AB140*(1+AC141)</f>
        <v>325.0401976335939</v>
      </c>
      <c r="AD140" s="321">
        <f>SUM(Z140:AC140)</f>
        <v>1210.205275305469</v>
      </c>
      <c r="AE140" s="321">
        <f>AD140*(1+AE141)</f>
        <v>1270.7155390707426</v>
      </c>
      <c r="AF140" s="321">
        <f>AE140*(1+AF141)</f>
        <v>1334.2513160242797</v>
      </c>
      <c r="AG140" s="321">
        <f>AF140*(1+AG141)</f>
        <v>1400.9638818254937</v>
      </c>
      <c r="AH140" s="8"/>
      <c r="AI140" s="8"/>
      <c r="AJ140" s="8"/>
    </row>
    <row r="141" ht="12.75" customHeight="1" spans="1:36" x14ac:dyDescent="0.25" outlineLevel="1" collapsed="1">
      <c r="A141" s="8"/>
      <c r="B141" s="8"/>
      <c r="C141" s="111" t="s">
        <v>254</v>
      </c>
      <c r="D141" s="8"/>
      <c r="E141" s="160"/>
      <c r="F141" s="312"/>
      <c r="G141" s="311">
        <f>IFERROR(G140/F140-1,"--")</f>
        <v>0</v>
      </c>
      <c r="H141" s="311">
        <f>IFERROR(H140/G140-1,"--")</f>
        <v>0</v>
      </c>
      <c r="I141" s="311">
        <f>IFERROR(I140/H140-1,"--")</f>
        <v>0</v>
      </c>
      <c r="J141" s="160"/>
      <c r="K141" s="311">
        <f>IFERROR(K140/I140-1,"--")</f>
        <v>0</v>
      </c>
      <c r="L141" s="311">
        <f>IFERROR(L140/K140-1,"--")</f>
        <v>0</v>
      </c>
      <c r="M141" s="311">
        <f>IFERROR(M140/L140-1,"--")</f>
        <v>0</v>
      </c>
      <c r="N141" s="311">
        <f>IFERROR(N140/M140-1,"--")</f>
        <v>0</v>
      </c>
      <c r="O141" s="299">
        <f>IFERROR(O140/J140-1,"--")</f>
        <v>0</v>
      </c>
      <c r="P141" s="311">
        <f>IFERROR(P140/N140-1,"--")</f>
        <v>0</v>
      </c>
      <c r="Q141" s="311">
        <f>IFERROR(Q140/P140-1,"--")</f>
        <v>0</v>
      </c>
      <c r="R141" s="311">
        <f>IFERROR(R140/Q140-1,"--")</f>
        <v>0</v>
      </c>
      <c r="S141" s="311">
        <f>IFERROR(S140/R140-1,"--")</f>
        <v>0</v>
      </c>
      <c r="T141" s="299">
        <f>IFERROR(T140/O140-1,"--")</f>
        <v>0</v>
      </c>
      <c r="U141" s="298">
        <f>IF(Case_Scenario="Bull",U142,IF(Case_Scenario="Base",U143,IF(Case_Scenario="bear",U144,"N/A")))</f>
        <v>0.05</v>
      </c>
      <c r="V141" s="298">
        <f>IF(Case_Scenario="Bull",V142,IF(Case_Scenario="Base",V143,IF(Case_Scenario="bear",V144,"N/A")))</f>
        <v>0.05</v>
      </c>
      <c r="W141" s="298">
        <f>IF(Case_Scenario="Bull",W142,IF(Case_Scenario="Base",W143,IF(Case_Scenario="bear",W144,"N/A")))</f>
        <v>0.05</v>
      </c>
      <c r="X141" s="298">
        <f>IF(Case_Scenario="Bull",X142,IF(Case_Scenario="Base",X143,IF(Case_Scenario="bear",X144,"N/A")))</f>
        <v>0.05</v>
      </c>
      <c r="Y141" s="299"/>
      <c r="Z141" s="298">
        <f>IF(Case_Scenario="Bull",Z142,IF(Case_Scenario="Base",Z143,IF(Case_Scenario="bear",Z144,"N/A")))</f>
        <v>0.05</v>
      </c>
      <c r="AA141" s="298">
        <f>IF(Case_Scenario="Bull",AA142,IF(Case_Scenario="Base",AA143,IF(Case_Scenario="bear",AA144,"N/A")))</f>
        <v>0.05</v>
      </c>
      <c r="AB141" s="298">
        <f>IF(Case_Scenario="Bull",AB142,IF(Case_Scenario="Base",AB143,IF(Case_Scenario="bear",AB144,"N/A")))</f>
        <v>0.05</v>
      </c>
      <c r="AC141" s="298">
        <f>IF(Case_Scenario="Bull",AC142,IF(Case_Scenario="Base",AC143,IF(Case_Scenario="bear",AC144,"N/A")))</f>
        <v>0.05</v>
      </c>
      <c r="AD141" s="299"/>
      <c r="AE141" s="299">
        <f>IF(Case_Scenario="Bull",AE142,IF(Case_Scenario="Base",AE143,IF(Case_Scenario="bear",AE144,"N/A")))</f>
        <v>0.05</v>
      </c>
      <c r="AF141" s="299">
        <f>IF(Case_Scenario="Bull",AF142,IF(Case_Scenario="Base",AF143,IF(Case_Scenario="bear",AF144,"N/A")))</f>
        <v>0.05</v>
      </c>
      <c r="AG141" s="299">
        <f>IF(Case_Scenario="Bull",AG142,IF(Case_Scenario="Base",AG143,IF(Case_Scenario="bear",AG144,"N/A")))</f>
        <v>0.05</v>
      </c>
      <c r="AH141" s="8"/>
      <c r="AI141" s="8"/>
      <c r="AJ141" s="8"/>
    </row>
    <row r="142" ht="12.75" customHeight="1" spans="1:36" x14ac:dyDescent="0.25" outlineLevel="1" collapsed="1">
      <c r="A142" s="8"/>
      <c r="B142" s="8"/>
      <c r="C142" s="130" t="s">
        <v>249</v>
      </c>
      <c r="D142" s="8"/>
      <c r="E142" s="160"/>
      <c r="F142" s="312"/>
      <c r="G142" s="312"/>
      <c r="H142" s="312"/>
      <c r="I142" s="312"/>
      <c r="J142" s="160"/>
      <c r="K142" s="312"/>
      <c r="L142" s="312"/>
      <c r="M142" s="312"/>
      <c r="N142" s="312"/>
      <c r="O142" s="160"/>
      <c r="P142" s="312"/>
      <c r="Q142" s="312"/>
      <c r="R142" s="312"/>
      <c r="S142" s="312"/>
      <c r="T142" s="160"/>
      <c r="U142" s="313">
        <v>0.1</v>
      </c>
      <c r="V142" s="313">
        <v>0.1</v>
      </c>
      <c r="W142" s="313">
        <v>0.1</v>
      </c>
      <c r="X142" s="313">
        <v>0.1</v>
      </c>
      <c r="Y142" s="314"/>
      <c r="Z142" s="313">
        <v>0.1</v>
      </c>
      <c r="AA142" s="313">
        <v>0.1</v>
      </c>
      <c r="AB142" s="313">
        <v>0.1</v>
      </c>
      <c r="AC142" s="313">
        <v>0.1</v>
      </c>
      <c r="AD142" s="314"/>
      <c r="AE142" s="314">
        <v>0.1</v>
      </c>
      <c r="AF142" s="314">
        <v>0.1</v>
      </c>
      <c r="AG142" s="314">
        <v>0.1</v>
      </c>
      <c r="AH142" s="8"/>
      <c r="AI142" s="8"/>
      <c r="AJ142" s="8"/>
    </row>
    <row r="143" ht="12.75" customHeight="1" spans="1:36" x14ac:dyDescent="0.25" outlineLevel="1" collapsed="1">
      <c r="A143" s="8"/>
      <c r="B143" s="8"/>
      <c r="C143" s="130" t="s">
        <v>250</v>
      </c>
      <c r="D143" s="8"/>
      <c r="E143" s="160"/>
      <c r="F143" s="312"/>
      <c r="G143" s="312"/>
      <c r="H143" s="312"/>
      <c r="I143" s="312"/>
      <c r="J143" s="160"/>
      <c r="K143" s="312"/>
      <c r="L143" s="312"/>
      <c r="M143" s="312"/>
      <c r="N143" s="312"/>
      <c r="O143" s="160"/>
      <c r="P143" s="312"/>
      <c r="Q143" s="312"/>
      <c r="R143" s="312"/>
      <c r="S143" s="312"/>
      <c r="T143" s="160"/>
      <c r="U143" s="313">
        <v>0.05</v>
      </c>
      <c r="V143" s="313">
        <v>0.05</v>
      </c>
      <c r="W143" s="313">
        <v>0.05</v>
      </c>
      <c r="X143" s="313">
        <v>0.05</v>
      </c>
      <c r="Y143" s="314"/>
      <c r="Z143" s="313">
        <v>0.05</v>
      </c>
      <c r="AA143" s="313">
        <v>0.05</v>
      </c>
      <c r="AB143" s="313">
        <v>0.05</v>
      </c>
      <c r="AC143" s="313">
        <v>0.05</v>
      </c>
      <c r="AD143" s="314"/>
      <c r="AE143" s="314">
        <v>0.05</v>
      </c>
      <c r="AF143" s="314">
        <v>0.05</v>
      </c>
      <c r="AG143" s="314">
        <v>0.05</v>
      </c>
      <c r="AH143" s="8"/>
      <c r="AI143" s="8"/>
      <c r="AJ143" s="8"/>
    </row>
    <row r="144" ht="12.75" customHeight="1" spans="1:36" x14ac:dyDescent="0.25" outlineLevel="1" collapsed="1">
      <c r="A144" s="8"/>
      <c r="B144" s="8"/>
      <c r="C144" s="130" t="s">
        <v>251</v>
      </c>
      <c r="D144" s="8"/>
      <c r="E144" s="160"/>
      <c r="F144" s="312"/>
      <c r="G144" s="312"/>
      <c r="H144" s="312"/>
      <c r="I144" s="312"/>
      <c r="J144" s="160"/>
      <c r="K144" s="312"/>
      <c r="L144" s="312"/>
      <c r="M144" s="312"/>
      <c r="N144" s="312"/>
      <c r="O144" s="160"/>
      <c r="P144" s="312"/>
      <c r="Q144" s="312"/>
      <c r="R144" s="312"/>
      <c r="S144" s="312"/>
      <c r="T144" s="160"/>
      <c r="U144" s="313">
        <v>0</v>
      </c>
      <c r="V144" s="313">
        <v>0</v>
      </c>
      <c r="W144" s="313">
        <v>0</v>
      </c>
      <c r="X144" s="313">
        <v>0</v>
      </c>
      <c r="Y144" s="314"/>
      <c r="Z144" s="313">
        <v>0</v>
      </c>
      <c r="AA144" s="313">
        <v>0</v>
      </c>
      <c r="AB144" s="313">
        <v>0</v>
      </c>
      <c r="AC144" s="313">
        <v>0</v>
      </c>
      <c r="AD144" s="314"/>
      <c r="AE144" s="314">
        <v>0</v>
      </c>
      <c r="AF144" s="314">
        <v>0</v>
      </c>
      <c r="AG144" s="314">
        <v>0</v>
      </c>
      <c r="AH144" s="8"/>
      <c r="AI144" s="8"/>
      <c r="AJ144" s="8"/>
    </row>
    <row r="145" ht="12.75" customHeight="1" spans="1:36" x14ac:dyDescent="0.25" outlineLevel="1" collapsed="1">
      <c r="A145" s="8"/>
      <c r="B145" s="8"/>
      <c r="C145" s="130" t="s">
        <v>163</v>
      </c>
      <c r="D145" s="8"/>
      <c r="E145" s="160"/>
      <c r="F145" s="310">
        <f t="shared" ref="F145:T145" si="32">IFERROR(F139/F140,"--")</f>
        <v>0.675</v>
      </c>
      <c r="G145" s="310">
        <f t="shared" si="32"/>
        <v>0.7104545454545456</v>
      </c>
      <c r="H145" s="310">
        <f t="shared" si="32"/>
        <v>0.7368181818181818</v>
      </c>
      <c r="I145" s="310">
        <f t="shared" si="32"/>
        <v>0.7972727272727272</v>
      </c>
      <c r="J145" s="280">
        <f t="shared" si="32"/>
        <v>0.7298863636363636</v>
      </c>
      <c r="K145" s="310">
        <f t="shared" si="32"/>
        <v>0.8563636363636364</v>
      </c>
      <c r="L145" s="310">
        <f t="shared" si="32"/>
        <v>0.9281818181818181</v>
      </c>
      <c r="M145" s="310">
        <f t="shared" si="32"/>
        <v>0.9331818181818182</v>
      </c>
      <c r="N145" s="310">
        <f t="shared" si="32"/>
        <v>0.8636363636363636</v>
      </c>
      <c r="O145" s="280">
        <f t="shared" si="32"/>
        <v>0.8953409090909092</v>
      </c>
      <c r="P145" s="310">
        <f t="shared" si="32"/>
        <v>0.9454545454545454</v>
      </c>
      <c r="Q145" s="310">
        <f t="shared" si="32"/>
        <v>0.9727272727272728</v>
      </c>
      <c r="R145" s="310">
        <f t="shared" si="32"/>
        <v>0.9272727272727272</v>
      </c>
      <c r="S145" s="310">
        <f t="shared" si="32"/>
        <v>0.9090909090909091</v>
      </c>
      <c r="T145" s="280">
        <f t="shared" si="32"/>
        <v>0.9386363636363636</v>
      </c>
      <c r="U145" s="279">
        <f>S145*(1+U146)</f>
        <v>0.9545454545454546</v>
      </c>
      <c r="V145" s="279">
        <f>U145*(1+V146)</f>
        <v>1.0022727272727274</v>
      </c>
      <c r="W145" s="279">
        <f>V145*(1+W146)</f>
        <v>1.052386363636364</v>
      </c>
      <c r="X145" s="279">
        <f>W145*(1+X146)</f>
        <v>1.052386363636364</v>
      </c>
      <c r="Y145" s="280">
        <f>Y139/Y140</f>
        <v>1.0174778105728848</v>
      </c>
      <c r="Z145" s="279">
        <f>X145*(1+Z146)</f>
        <v>1.1050056818181822</v>
      </c>
      <c r="AA145" s="279">
        <f>Z145*(1+AA146)</f>
        <v>1.1602559659090914</v>
      </c>
      <c r="AB145" s="279">
        <f>AA145*(1+AB146)</f>
        <v>1.218268764204546</v>
      </c>
      <c r="AC145" s="279">
        <f>AB145*(1+AC146)</f>
        <v>1.2791822024147734</v>
      </c>
      <c r="AD145" s="280">
        <f>AD139/AD140</f>
        <v>1.1942180460261924</v>
      </c>
      <c r="AE145" s="280">
        <f>AD145*(1+AE146)</f>
        <v>1.253928948327502</v>
      </c>
      <c r="AF145" s="280">
        <f>AE145*(1+AF146)</f>
        <v>1.3166253957438772</v>
      </c>
      <c r="AG145" s="280">
        <f>AF145*(1+AG146)</f>
        <v>1.382456665531071</v>
      </c>
      <c r="AH145" s="8"/>
      <c r="AI145" s="8"/>
      <c r="AJ145" s="8"/>
    </row>
    <row r="146" ht="12.75" customHeight="1" spans="1:36" x14ac:dyDescent="0.25" outlineLevel="1" collapsed="1">
      <c r="A146" s="8"/>
      <c r="B146" s="8"/>
      <c r="C146" s="111" t="s">
        <v>255</v>
      </c>
      <c r="D146" s="8"/>
      <c r="E146" s="160"/>
      <c r="F146" s="312"/>
      <c r="G146" s="311">
        <f>IFERROR(G145/F145-1,"--")</f>
        <v>0.05252525252525264</v>
      </c>
      <c r="H146" s="311">
        <f>IFERROR(H145/G145-1,"--")</f>
        <v>0.03710812539987196</v>
      </c>
      <c r="I146" s="311">
        <f>IFERROR(I145/H145-1,"--")</f>
        <v>0.08204811844540405</v>
      </c>
      <c r="J146" s="160"/>
      <c r="K146" s="311">
        <f>IFERROR(K145/I145-1,"--")</f>
        <v>0.07411630558722937</v>
      </c>
      <c r="L146" s="311">
        <f>IFERROR(L145/K145-1,"--")</f>
        <v>0.0838641188959659</v>
      </c>
      <c r="M146" s="311">
        <f>IFERROR(M145/L145-1,"--")</f>
        <v>0.0053868756121451256</v>
      </c>
      <c r="N146" s="311">
        <f>IFERROR(N145/M145-1,"--")</f>
        <v>-0.07452508524111057</v>
      </c>
      <c r="O146" s="299">
        <f>IFERROR(O145/J145-1,"--")</f>
        <v>0.2266853495251442</v>
      </c>
      <c r="P146" s="311">
        <f>IFERROR(P145/N145-1,"--")</f>
        <v>0.09473684210526323</v>
      </c>
      <c r="Q146" s="311">
        <f>IFERROR(Q145/P145-1,"--")</f>
        <v>0.028846153846153966</v>
      </c>
      <c r="R146" s="311">
        <f>IFERROR(R145/Q145-1,"--")</f>
        <v>-0.04672897196261694</v>
      </c>
      <c r="S146" s="311">
        <f>IFERROR(S145/R145-1,"--")</f>
        <v>-0.019607843137254943</v>
      </c>
      <c r="T146" s="299">
        <f>IFERROR(T145/O145-1,"--")</f>
        <v>0.048356390404873606</v>
      </c>
      <c r="U146" s="298">
        <f>IF(Case_Scenario="Bull",U147,IF(Case_Scenario="Base",U148,IF(Case_Scenario="bear",U149,"N/A")))</f>
        <v>0.05</v>
      </c>
      <c r="V146" s="298">
        <f>IF(Case_Scenario="Bull",V147,IF(Case_Scenario="Base",V148,IF(Case_Scenario="bear",V149,"N/A")))</f>
        <v>0.05</v>
      </c>
      <c r="W146" s="298">
        <f>IF(Case_Scenario="Bull",W147,IF(Case_Scenario="Base",W148,IF(Case_Scenario="bear",W149,"N/A")))</f>
        <v>0.05</v>
      </c>
      <c r="X146" s="298">
        <f>IF(Case_Scenario="Bull",X147,IF(Case_Scenario="Base",X148,IF(Case_Scenario="bear",X149,"N/A")))</f>
        <v>0</v>
      </c>
      <c r="Y146" s="299"/>
      <c r="Z146" s="298">
        <f>IF(Case_Scenario="Bull",Z147,IF(Case_Scenario="Base",Z148,IF(Case_Scenario="bear",Z149,"N/A")))</f>
        <v>0.05</v>
      </c>
      <c r="AA146" s="298">
        <f>IF(Case_Scenario="Bull",AA147,IF(Case_Scenario="Base",AA148,IF(Case_Scenario="bear",AA149,"N/A")))</f>
        <v>0.05</v>
      </c>
      <c r="AB146" s="298">
        <f>IF(Case_Scenario="Bull",AB147,IF(Case_Scenario="Base",AB148,IF(Case_Scenario="bear",AB149,"N/A")))</f>
        <v>0.05</v>
      </c>
      <c r="AC146" s="298">
        <f>IF(Case_Scenario="Bull",AC147,IF(Case_Scenario="Base",AC148,IF(Case_Scenario="bear",AC149,"N/A")))</f>
        <v>0.05</v>
      </c>
      <c r="AD146" s="299"/>
      <c r="AE146" s="299">
        <f>IF(Case_Scenario="Bull",AE147,IF(Case_Scenario="Base",AE148,IF(Case_Scenario="bear",AE149,"N/A")))</f>
        <v>0.05</v>
      </c>
      <c r="AF146" s="299">
        <f>IF(Case_Scenario="Bull",AF147,IF(Case_Scenario="Base",AF148,IF(Case_Scenario="bear",AF149,"N/A")))</f>
        <v>0.05</v>
      </c>
      <c r="AG146" s="299">
        <f>IF(Case_Scenario="Bull",AG147,IF(Case_Scenario="Base",AG148,IF(Case_Scenario="bear",AG149,"N/A")))</f>
        <v>0.05</v>
      </c>
      <c r="AH146" s="8"/>
      <c r="AI146" s="8"/>
      <c r="AJ146" s="8"/>
    </row>
    <row r="147" ht="12.75" customHeight="1" spans="1:36" x14ac:dyDescent="0.25" outlineLevel="1" collapsed="1">
      <c r="A147" s="8"/>
      <c r="B147" s="8"/>
      <c r="C147" s="130" t="s">
        <v>249</v>
      </c>
      <c r="D147" s="8"/>
      <c r="E147" s="160"/>
      <c r="F147" s="312"/>
      <c r="G147" s="312"/>
      <c r="H147" s="312"/>
      <c r="I147" s="312"/>
      <c r="J147" s="160"/>
      <c r="K147" s="312"/>
      <c r="L147" s="312"/>
      <c r="M147" s="312"/>
      <c r="N147" s="312"/>
      <c r="O147" s="160"/>
      <c r="P147" s="312"/>
      <c r="Q147" s="312"/>
      <c r="R147" s="312"/>
      <c r="S147" s="312"/>
      <c r="T147" s="160"/>
      <c r="U147" s="313">
        <v>0.1</v>
      </c>
      <c r="V147" s="313">
        <v>0.1</v>
      </c>
      <c r="W147" s="313">
        <v>0.1</v>
      </c>
      <c r="X147" s="313">
        <v>0</v>
      </c>
      <c r="Y147" s="314"/>
      <c r="Z147" s="313">
        <v>0.1</v>
      </c>
      <c r="AA147" s="313">
        <v>0.1</v>
      </c>
      <c r="AB147" s="313">
        <v>0.1</v>
      </c>
      <c r="AC147" s="313">
        <v>0.1</v>
      </c>
      <c r="AD147" s="314"/>
      <c r="AE147" s="314">
        <v>0.1</v>
      </c>
      <c r="AF147" s="314">
        <v>0.1</v>
      </c>
      <c r="AG147" s="314">
        <v>0.1</v>
      </c>
      <c r="AH147" s="8"/>
      <c r="AI147" s="8"/>
      <c r="AJ147" s="8"/>
    </row>
    <row r="148" ht="12.75" customHeight="1" spans="1:36" x14ac:dyDescent="0.25" outlineLevel="1" collapsed="1">
      <c r="A148" s="8"/>
      <c r="B148" s="8"/>
      <c r="C148" s="130" t="s">
        <v>250</v>
      </c>
      <c r="D148" s="8"/>
      <c r="E148" s="160"/>
      <c r="F148" s="312"/>
      <c r="G148" s="312"/>
      <c r="H148" s="312"/>
      <c r="I148" s="312"/>
      <c r="J148" s="160"/>
      <c r="K148" s="312"/>
      <c r="L148" s="312"/>
      <c r="M148" s="312"/>
      <c r="N148" s="312"/>
      <c r="O148" s="160"/>
      <c r="P148" s="312"/>
      <c r="Q148" s="312"/>
      <c r="R148" s="312"/>
      <c r="S148" s="312"/>
      <c r="T148" s="160"/>
      <c r="U148" s="313">
        <v>0.05</v>
      </c>
      <c r="V148" s="313">
        <v>0.05</v>
      </c>
      <c r="W148" s="313">
        <v>0.05</v>
      </c>
      <c r="X148" s="313">
        <v>0</v>
      </c>
      <c r="Y148" s="314"/>
      <c r="Z148" s="313">
        <v>0.05</v>
      </c>
      <c r="AA148" s="313">
        <v>0.05</v>
      </c>
      <c r="AB148" s="313">
        <v>0.05</v>
      </c>
      <c r="AC148" s="313">
        <v>0.05</v>
      </c>
      <c r="AD148" s="314"/>
      <c r="AE148" s="314">
        <v>0.05</v>
      </c>
      <c r="AF148" s="314">
        <v>0.05</v>
      </c>
      <c r="AG148" s="314">
        <v>0.05</v>
      </c>
      <c r="AH148" s="8"/>
      <c r="AI148" s="8"/>
      <c r="AJ148" s="8"/>
    </row>
    <row r="149" ht="12.75" customHeight="1" spans="1:36" x14ac:dyDescent="0.25" outlineLevel="1" collapsed="1">
      <c r="A149" s="8"/>
      <c r="B149" s="8"/>
      <c r="C149" s="130" t="s">
        <v>251</v>
      </c>
      <c r="D149" s="8"/>
      <c r="E149" s="160"/>
      <c r="F149" s="312"/>
      <c r="G149" s="312"/>
      <c r="H149" s="312"/>
      <c r="I149" s="312"/>
      <c r="J149" s="160"/>
      <c r="K149" s="312"/>
      <c r="L149" s="312"/>
      <c r="M149" s="312"/>
      <c r="N149" s="312"/>
      <c r="O149" s="160"/>
      <c r="P149" s="312"/>
      <c r="Q149" s="312"/>
      <c r="R149" s="312"/>
      <c r="S149" s="312"/>
      <c r="T149" s="160"/>
      <c r="U149" s="313">
        <v>0</v>
      </c>
      <c r="V149" s="313">
        <v>0</v>
      </c>
      <c r="W149" s="313">
        <v>0</v>
      </c>
      <c r="X149" s="313">
        <v>0</v>
      </c>
      <c r="Y149" s="314"/>
      <c r="Z149" s="313">
        <v>0</v>
      </c>
      <c r="AA149" s="313">
        <v>0</v>
      </c>
      <c r="AB149" s="313">
        <v>0</v>
      </c>
      <c r="AC149" s="313">
        <v>0</v>
      </c>
      <c r="AD149" s="314"/>
      <c r="AE149" s="314">
        <v>0</v>
      </c>
      <c r="AF149" s="314">
        <v>0</v>
      </c>
      <c r="AG149" s="314">
        <v>0</v>
      </c>
      <c r="AH149" s="8"/>
      <c r="AI149" s="8"/>
      <c r="AJ149" s="8"/>
    </row>
    <row r="150" ht="12.75" customHeight="1" spans="1:36" x14ac:dyDescent="0.25" outlineLevel="1" collapsed="1">
      <c r="A150" s="8"/>
      <c r="B150" s="8"/>
      <c r="C150" s="8"/>
      <c r="D150" s="8"/>
      <c r="E150" s="160"/>
      <c r="F150" s="312"/>
      <c r="G150" s="312"/>
      <c r="H150" s="312"/>
      <c r="I150" s="312"/>
      <c r="J150" s="160"/>
      <c r="K150" s="312"/>
      <c r="L150" s="312"/>
      <c r="M150" s="312"/>
      <c r="N150" s="312"/>
      <c r="O150" s="160"/>
      <c r="P150" s="312"/>
      <c r="Q150" s="312"/>
      <c r="R150" s="312"/>
      <c r="S150" s="312"/>
      <c r="T150" s="160"/>
      <c r="U150" s="315"/>
      <c r="V150" s="315"/>
      <c r="W150" s="315"/>
      <c r="X150" s="315"/>
      <c r="Y150" s="160"/>
      <c r="Z150" s="315"/>
      <c r="AA150" s="315"/>
      <c r="AB150" s="315"/>
      <c r="AC150" s="315"/>
      <c r="AD150" s="160"/>
      <c r="AE150" s="160"/>
      <c r="AF150" s="160"/>
      <c r="AG150" s="160"/>
      <c r="AH150" s="8"/>
      <c r="AI150" s="8"/>
      <c r="AJ150" s="8"/>
    </row>
    <row r="151" ht="12.75" customHeight="1" spans="1:36" x14ac:dyDescent="0.25" outlineLevel="1" collapsed="1">
      <c r="A151" s="257" t="s">
        <v>3</v>
      </c>
      <c r="B151" s="8"/>
      <c r="C151" s="130" t="str">
        <f>C47</f>
        <v>Professional Services and Other Revenue</v>
      </c>
      <c r="D151" s="8"/>
      <c r="E151" s="160"/>
      <c r="F151" s="310">
        <f t="shared" ref="F151:T151" si="33">F47</f>
        <v>0</v>
      </c>
      <c r="G151" s="310">
        <f t="shared" si="33"/>
        <v>0</v>
      </c>
      <c r="H151" s="310">
        <f t="shared" si="33"/>
        <v>0</v>
      </c>
      <c r="I151" s="310">
        <f t="shared" si="33"/>
        <v>0</v>
      </c>
      <c r="J151" s="280">
        <f t="shared" si="33"/>
        <v>0</v>
      </c>
      <c r="K151" s="310">
        <f t="shared" si="33"/>
        <v>0</v>
      </c>
      <c r="L151" s="310">
        <f t="shared" si="33"/>
        <v>0</v>
      </c>
      <c r="M151" s="310">
        <f t="shared" si="33"/>
        <v>0</v>
      </c>
      <c r="N151" s="310">
        <f t="shared" si="33"/>
        <v>0</v>
      </c>
      <c r="O151" s="280">
        <f t="shared" si="33"/>
        <v>0</v>
      </c>
      <c r="P151" s="310">
        <f t="shared" si="33"/>
        <v>0</v>
      </c>
      <c r="Q151" s="310">
        <f t="shared" si="33"/>
        <v>0</v>
      </c>
      <c r="R151" s="310">
        <f t="shared" si="33"/>
        <v>0</v>
      </c>
      <c r="S151" s="310">
        <f t="shared" si="33"/>
        <v>0</v>
      </c>
      <c r="T151" s="280">
        <f t="shared" si="33"/>
        <v>0</v>
      </c>
      <c r="U151" s="279">
        <f>U152*U157</f>
        <v>0</v>
      </c>
      <c r="V151" s="279">
        <f>V152*V157</f>
        <v>0</v>
      </c>
      <c r="W151" s="279">
        <f>W152*W157</f>
        <v>0</v>
      </c>
      <c r="X151" s="279">
        <f>X152*X157</f>
        <v>0</v>
      </c>
      <c r="Y151" s="280">
        <f>SUM(U151:X151)</f>
        <v>0</v>
      </c>
      <c r="Z151" s="279">
        <f>Z152*Z157</f>
        <v>0</v>
      </c>
      <c r="AA151" s="279">
        <f>AA152*AA157</f>
        <v>0</v>
      </c>
      <c r="AB151" s="279">
        <f>AB152*AB157</f>
        <v>0</v>
      </c>
      <c r="AC151" s="279">
        <f>AC152*AC157</f>
        <v>0</v>
      </c>
      <c r="AD151" s="280">
        <f>SUM(Z151:AC151)</f>
        <v>0</v>
      </c>
      <c r="AE151" s="280">
        <f>AE152*AE157</f>
        <v>0</v>
      </c>
      <c r="AF151" s="280">
        <f>AF152*AF157</f>
        <v>0</v>
      </c>
      <c r="AG151" s="280">
        <f>AG152*AG157</f>
        <v>0</v>
      </c>
      <c r="AH151" s="8"/>
      <c r="AI151" s="8"/>
      <c r="AJ151" s="8"/>
    </row>
    <row r="152" ht="12.75" customHeight="1" spans="1:36" x14ac:dyDescent="0.25" outlineLevel="1" collapsed="1">
      <c r="A152" s="8"/>
      <c r="B152" s="8"/>
      <c r="C152" s="130" t="s">
        <v>253</v>
      </c>
      <c r="D152" s="8"/>
      <c r="E152" s="160"/>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U152*(1+V153)</f>
        <v>0</v>
      </c>
      <c r="W152" s="322">
        <f>V152*(1+W153)</f>
        <v>0</v>
      </c>
      <c r="X152" s="322">
        <f>W152*(1+X153)</f>
        <v>0</v>
      </c>
      <c r="Y152" s="321">
        <f>SUM(U152:X152)</f>
        <v>0</v>
      </c>
      <c r="Z152" s="322">
        <f>X152*(1+Z153)</f>
        <v>0</v>
      </c>
      <c r="AA152" s="322">
        <f>Z152*(1+AA153)</f>
        <v>0</v>
      </c>
      <c r="AB152" s="322">
        <f>AA152*(1+AB153)</f>
        <v>0</v>
      </c>
      <c r="AC152" s="322">
        <f>AB152*(1+AC153)</f>
        <v>0</v>
      </c>
      <c r="AD152" s="321">
        <f>SUM(Z152:AC152)</f>
        <v>0</v>
      </c>
      <c r="AE152" s="321">
        <f>AD152*(1+AE153)</f>
        <v>0</v>
      </c>
      <c r="AF152" s="321">
        <f>AE152*(1+AF153)</f>
        <v>0</v>
      </c>
      <c r="AG152" s="321">
        <f>AF152*(1+AG153)</f>
        <v>0</v>
      </c>
      <c r="AH152" s="8"/>
      <c r="AI152" s="8"/>
      <c r="AJ152" s="8"/>
    </row>
    <row r="153" ht="12.75" customHeight="1" spans="1:36" x14ac:dyDescent="0.25" outlineLevel="1" collapsed="1">
      <c r="A153" s="8"/>
      <c r="B153" s="8"/>
      <c r="C153" s="111" t="s">
        <v>254</v>
      </c>
      <c r="D153" s="8"/>
      <c r="E153" s="160"/>
      <c r="F153" s="312"/>
      <c r="G153" s="311" t="str">
        <f>IFERROR(G152/F152-1,"--")</f>
        <v>--</v>
      </c>
      <c r="H153" s="311" t="str">
        <f>IFERROR(H152/G152-1,"--")</f>
        <v>--</v>
      </c>
      <c r="I153" s="311" t="str">
        <f>IFERROR(I152/H152-1,"--")</f>
        <v>--</v>
      </c>
      <c r="J153" s="160"/>
      <c r="K153" s="311" t="str">
        <f>IFERROR(K152/I152-1,"--")</f>
        <v>--</v>
      </c>
      <c r="L153" s="311" t="str">
        <f>IFERROR(L152/K152-1,"--")</f>
        <v>--</v>
      </c>
      <c r="M153" s="311" t="str">
        <f>IFERROR(M152/L152-1,"--")</f>
        <v>--</v>
      </c>
      <c r="N153" s="311" t="str">
        <f>IFERROR(N152/M152-1,"--")</f>
        <v>--</v>
      </c>
      <c r="O153" s="299" t="str">
        <f>IFERROR(O152/J152-1,"--")</f>
        <v>--</v>
      </c>
      <c r="P153" s="311" t="str">
        <f>IFERROR(P152/N152-1,"--")</f>
        <v>--</v>
      </c>
      <c r="Q153" s="311" t="str">
        <f>IFERROR(Q152/P152-1,"--")</f>
        <v>--</v>
      </c>
      <c r="R153" s="311" t="str">
        <f>IFERROR(R152/Q152-1,"--")</f>
        <v>--</v>
      </c>
      <c r="S153" s="311" t="str">
        <f>IFERROR(S152/R152-1,"--")</f>
        <v>--</v>
      </c>
      <c r="T153" s="299" t="str">
        <f>IFERROR(T152/O152-1,"--")</f>
        <v>--</v>
      </c>
      <c r="U153" s="298">
        <f>IF(Case_Scenario="Bull",U154,IF(Case_Scenario="Base",U155,IF(Case_Scenario="bear",U156,"N/A")))</f>
        <v>0.05</v>
      </c>
      <c r="V153" s="298">
        <f>IF(Case_Scenario="Bull",V154,IF(Case_Scenario="Base",V155,IF(Case_Scenario="bear",V156,"N/A")))</f>
        <v>0.05</v>
      </c>
      <c r="W153" s="298">
        <f>IF(Case_Scenario="Bull",W154,IF(Case_Scenario="Base",W155,IF(Case_Scenario="bear",W156,"N/A")))</f>
        <v>0.05</v>
      </c>
      <c r="X153" s="298">
        <f>IF(Case_Scenario="Bull",X154,IF(Case_Scenario="Base",X155,IF(Case_Scenario="bear",X156,"N/A")))</f>
        <v>0</v>
      </c>
      <c r="Y153" s="299"/>
      <c r="Z153" s="298">
        <f>IF(Case_Scenario="Bull",Z154,IF(Case_Scenario="Base",Z155,IF(Case_Scenario="bear",Z156,"N/A")))</f>
        <v>0.05</v>
      </c>
      <c r="AA153" s="298">
        <f>IF(Case_Scenario="Bull",AA154,IF(Case_Scenario="Base",AA155,IF(Case_Scenario="bear",AA156,"N/A")))</f>
        <v>0.05</v>
      </c>
      <c r="AB153" s="298">
        <f>IF(Case_Scenario="Bull",AB154,IF(Case_Scenario="Base",AB155,IF(Case_Scenario="bear",AB156,"N/A")))</f>
        <v>0.05</v>
      </c>
      <c r="AC153" s="298">
        <f>IF(Case_Scenario="Bull",AC154,IF(Case_Scenario="Base",AC155,IF(Case_Scenario="bear",AC156,"N/A")))</f>
        <v>0.05</v>
      </c>
      <c r="AD153" s="299"/>
      <c r="AE153" s="299">
        <f>IF(Case_Scenario="Bull",AE154,IF(Case_Scenario="Base",AE155,IF(Case_Scenario="bear",AE156,"N/A")))</f>
        <v>0.05</v>
      </c>
      <c r="AF153" s="299">
        <f>IF(Case_Scenario="Bull",AF154,IF(Case_Scenario="Base",AF155,IF(Case_Scenario="bear",AF156,"N/A")))</f>
        <v>0.05</v>
      </c>
      <c r="AG153" s="299">
        <f>IF(Case_Scenario="Bull",AG154,IF(Case_Scenario="Base",AG155,IF(Case_Scenario="bear",AG156,"N/A")))</f>
        <v>0.05</v>
      </c>
      <c r="AH153" s="8"/>
      <c r="AI153" s="8"/>
      <c r="AJ153" s="8"/>
    </row>
    <row r="154" ht="12.75" customHeight="1" spans="1:36" x14ac:dyDescent="0.25" outlineLevel="1" collapsed="1">
      <c r="A154" s="8"/>
      <c r="B154" s="8"/>
      <c r="C154" s="130" t="s">
        <v>249</v>
      </c>
      <c r="D154" s="8"/>
      <c r="E154" s="160"/>
      <c r="F154" s="312"/>
      <c r="G154" s="312"/>
      <c r="H154" s="312"/>
      <c r="I154" s="312"/>
      <c r="J154" s="160"/>
      <c r="K154" s="312"/>
      <c r="L154" s="312"/>
      <c r="M154" s="312"/>
      <c r="N154" s="312"/>
      <c r="O154" s="160"/>
      <c r="P154" s="312"/>
      <c r="Q154" s="312"/>
      <c r="R154" s="312"/>
      <c r="S154" s="312"/>
      <c r="T154" s="160"/>
      <c r="U154" s="313">
        <v>0.1</v>
      </c>
      <c r="V154" s="313">
        <v>0.1</v>
      </c>
      <c r="W154" s="313">
        <v>0.1</v>
      </c>
      <c r="X154" s="313">
        <v>0</v>
      </c>
      <c r="Y154" s="314"/>
      <c r="Z154" s="313">
        <v>0.1</v>
      </c>
      <c r="AA154" s="313">
        <v>0.1</v>
      </c>
      <c r="AB154" s="313">
        <v>0.1</v>
      </c>
      <c r="AC154" s="313">
        <v>0.1</v>
      </c>
      <c r="AD154" s="314"/>
      <c r="AE154" s="314">
        <v>0.1</v>
      </c>
      <c r="AF154" s="314">
        <v>0.1</v>
      </c>
      <c r="AG154" s="314">
        <v>0.1</v>
      </c>
      <c r="AH154" s="8"/>
      <c r="AI154" s="8"/>
      <c r="AJ154" s="8"/>
    </row>
    <row r="155" ht="12.75" customHeight="1" spans="1:36" x14ac:dyDescent="0.25" outlineLevel="1" collapsed="1">
      <c r="A155" s="8"/>
      <c r="B155" s="8"/>
      <c r="C155" s="130" t="s">
        <v>250</v>
      </c>
      <c r="D155" s="8"/>
      <c r="E155" s="160"/>
      <c r="F155" s="312"/>
      <c r="G155" s="312"/>
      <c r="H155" s="312"/>
      <c r="I155" s="312"/>
      <c r="J155" s="160"/>
      <c r="K155" s="312"/>
      <c r="L155" s="312"/>
      <c r="M155" s="312"/>
      <c r="N155" s="312"/>
      <c r="O155" s="160"/>
      <c r="P155" s="312"/>
      <c r="Q155" s="312"/>
      <c r="R155" s="312"/>
      <c r="S155" s="312"/>
      <c r="T155" s="160"/>
      <c r="U155" s="313">
        <v>0.05</v>
      </c>
      <c r="V155" s="313">
        <v>0.05</v>
      </c>
      <c r="W155" s="313">
        <v>0.05</v>
      </c>
      <c r="X155" s="313">
        <v>0</v>
      </c>
      <c r="Y155" s="314"/>
      <c r="Z155" s="313">
        <v>0.05</v>
      </c>
      <c r="AA155" s="313">
        <v>0.05</v>
      </c>
      <c r="AB155" s="313">
        <v>0.05</v>
      </c>
      <c r="AC155" s="313">
        <v>0.05</v>
      </c>
      <c r="AD155" s="314"/>
      <c r="AE155" s="314">
        <v>0.05</v>
      </c>
      <c r="AF155" s="314">
        <v>0.05</v>
      </c>
      <c r="AG155" s="314">
        <v>0.05</v>
      </c>
      <c r="AH155" s="8"/>
      <c r="AI155" s="8"/>
      <c r="AJ155" s="8"/>
    </row>
    <row r="156" ht="12.75" customHeight="1" spans="1:36" x14ac:dyDescent="0.25" outlineLevel="1" collapsed="1">
      <c r="A156" s="8"/>
      <c r="B156" s="8"/>
      <c r="C156" s="130" t="s">
        <v>251</v>
      </c>
      <c r="D156" s="8"/>
      <c r="E156" s="160"/>
      <c r="F156" s="312"/>
      <c r="G156" s="312"/>
      <c r="H156" s="312"/>
      <c r="I156" s="312"/>
      <c r="J156" s="160"/>
      <c r="K156" s="312"/>
      <c r="L156" s="312"/>
      <c r="M156" s="312"/>
      <c r="N156" s="312"/>
      <c r="O156" s="160"/>
      <c r="P156" s="312"/>
      <c r="Q156" s="312"/>
      <c r="R156" s="312"/>
      <c r="S156" s="312"/>
      <c r="T156" s="160"/>
      <c r="U156" s="313">
        <v>0</v>
      </c>
      <c r="V156" s="313">
        <v>0</v>
      </c>
      <c r="W156" s="313">
        <v>0</v>
      </c>
      <c r="X156" s="313">
        <v>0</v>
      </c>
      <c r="Y156" s="314"/>
      <c r="Z156" s="313">
        <v>0</v>
      </c>
      <c r="AA156" s="313">
        <v>0</v>
      </c>
      <c r="AB156" s="313">
        <v>0</v>
      </c>
      <c r="AC156" s="313">
        <v>0</v>
      </c>
      <c r="AD156" s="314"/>
      <c r="AE156" s="314">
        <v>0</v>
      </c>
      <c r="AF156" s="314">
        <v>0</v>
      </c>
      <c r="AG156" s="314">
        <v>0</v>
      </c>
      <c r="AH156" s="8"/>
      <c r="AI156" s="8"/>
      <c r="AJ156" s="8"/>
    </row>
    <row r="157" ht="12.75" customHeight="1" spans="1:36" x14ac:dyDescent="0.25" outlineLevel="1" collapsed="1">
      <c r="A157" s="8"/>
      <c r="B157" s="8"/>
      <c r="C157" s="130" t="s">
        <v>163</v>
      </c>
      <c r="D157" s="8"/>
      <c r="E157" s="160"/>
      <c r="F157" s="310">
        <v>0</v>
      </c>
      <c r="G157" s="310">
        <v>0</v>
      </c>
      <c r="H157" s="310">
        <v>0</v>
      </c>
      <c r="I157" s="310">
        <v>0</v>
      </c>
      <c r="J157" s="280">
        <v>0</v>
      </c>
      <c r="K157" s="310">
        <v>0</v>
      </c>
      <c r="L157" s="310">
        <v>0</v>
      </c>
      <c r="M157" s="310">
        <v>0</v>
      </c>
      <c r="N157" s="310">
        <v>0</v>
      </c>
      <c r="O157" s="280">
        <v>0</v>
      </c>
      <c r="P157" s="310">
        <v>0</v>
      </c>
      <c r="Q157" s="310">
        <v>0</v>
      </c>
      <c r="R157" s="310">
        <v>0</v>
      </c>
      <c r="S157" s="310">
        <v>0</v>
      </c>
      <c r="T157" s="280">
        <v>0</v>
      </c>
      <c r="U157" s="279">
        <f>S157*(1+U158)</f>
        <v>0</v>
      </c>
      <c r="V157" s="279">
        <f>U157*(1+V158)</f>
        <v>0</v>
      </c>
      <c r="W157" s="279">
        <f>V157*(1+W158)</f>
        <v>0</v>
      </c>
      <c r="X157" s="279">
        <f>W157*(1+X158)</f>
        <v>0</v>
      </c>
      <c r="Y157" s="280">
        <v>0</v>
      </c>
      <c r="Z157" s="279">
        <f>X157*(1+Z158)</f>
        <v>0</v>
      </c>
      <c r="AA157" s="279">
        <f>Z157*(1+AA158)</f>
        <v>0</v>
      </c>
      <c r="AB157" s="279">
        <f>AA157*(1+AB158)</f>
        <v>0</v>
      </c>
      <c r="AC157" s="279">
        <f>AB157*(1+AC158)</f>
        <v>0</v>
      </c>
      <c r="AD157" s="280">
        <v>0</v>
      </c>
      <c r="AE157" s="280">
        <f>AD157*(1+AE158)</f>
        <v>0</v>
      </c>
      <c r="AF157" s="280">
        <f>AE157*(1+AF158)</f>
        <v>0</v>
      </c>
      <c r="AG157" s="280">
        <f>AF157*(1+AG158)</f>
        <v>0</v>
      </c>
      <c r="AH157" s="8"/>
      <c r="AI157" s="8"/>
      <c r="AJ157" s="8"/>
    </row>
    <row r="158" ht="12.75" customHeight="1" spans="1:36" x14ac:dyDescent="0.25" outlineLevel="1" collapsed="1">
      <c r="A158" s="8"/>
      <c r="B158" s="8"/>
      <c r="C158" s="111" t="s">
        <v>255</v>
      </c>
      <c r="D158" s="8"/>
      <c r="E158" s="160"/>
      <c r="F158" s="312"/>
      <c r="G158" s="311" t="str">
        <f>IFERROR(G157/F157-1,"--")</f>
        <v>--</v>
      </c>
      <c r="H158" s="311" t="str">
        <f>IFERROR(H157/G157-1,"--")</f>
        <v>--</v>
      </c>
      <c r="I158" s="311" t="str">
        <f>IFERROR(I157/H157-1,"--")</f>
        <v>--</v>
      </c>
      <c r="J158" s="160"/>
      <c r="K158" s="311" t="str">
        <f>IFERROR(K157/I157-1,"--")</f>
        <v>--</v>
      </c>
      <c r="L158" s="311" t="str">
        <f>IFERROR(L157/K157-1,"--")</f>
        <v>--</v>
      </c>
      <c r="M158" s="311" t="str">
        <f>IFERROR(M157/L157-1,"--")</f>
        <v>--</v>
      </c>
      <c r="N158" s="311" t="str">
        <f>IFERROR(N157/M157-1,"--")</f>
        <v>--</v>
      </c>
      <c r="O158" s="299" t="str">
        <f>IFERROR(O157/J157-1,"--")</f>
        <v>--</v>
      </c>
      <c r="P158" s="311" t="str">
        <f>IFERROR(P157/N157-1,"--")</f>
        <v>--</v>
      </c>
      <c r="Q158" s="311" t="str">
        <f>IFERROR(Q157/P157-1,"--")</f>
        <v>--</v>
      </c>
      <c r="R158" s="311" t="str">
        <f>IFERROR(R157/Q157-1,"--")</f>
        <v>--</v>
      </c>
      <c r="S158" s="311" t="str">
        <f>IFERROR(S157/R157-1,"--")</f>
        <v>--</v>
      </c>
      <c r="T158" s="299" t="str">
        <f>IFERROR(T157/O157-1,"--")</f>
        <v>--</v>
      </c>
      <c r="U158" s="298">
        <f>IF(Case_Scenario="Bull",U159,IF(Case_Scenario="Base",U160,IF(Case_Scenario="bear",U161,"N/A")))</f>
        <v>0</v>
      </c>
      <c r="V158" s="298">
        <f>IF(Case_Scenario="Bull",V159,IF(Case_Scenario="Base",V160,IF(Case_Scenario="bear",V161,"N/A")))</f>
        <v>0</v>
      </c>
      <c r="W158" s="298">
        <f>IF(Case_Scenario="Bull",W159,IF(Case_Scenario="Base",W160,IF(Case_Scenario="bear",W161,"N/A")))</f>
        <v>0</v>
      </c>
      <c r="X158" s="298">
        <f>IF(Case_Scenario="Bull",X159,IF(Case_Scenario="Base",X160,IF(Case_Scenario="bear",X161,"N/A")))</f>
        <v>0</v>
      </c>
      <c r="Y158" s="321"/>
      <c r="Z158" s="298">
        <f>IF(Case_Scenario="Bull",Z159,IF(Case_Scenario="Base",Z160,IF(Case_Scenario="bear",Z161,"N/A")))</f>
        <v>0</v>
      </c>
      <c r="AA158" s="298">
        <f>IF(Case_Scenario="Bull",AA159,IF(Case_Scenario="Base",AA160,IF(Case_Scenario="bear",AA161,"N/A")))</f>
        <v>0</v>
      </c>
      <c r="AB158" s="298">
        <f>IF(Case_Scenario="Bull",AB159,IF(Case_Scenario="Base",AB160,IF(Case_Scenario="bear",AB161,"N/A")))</f>
        <v>0</v>
      </c>
      <c r="AC158" s="298">
        <f>IF(Case_Scenario="Bull",AC159,IF(Case_Scenario="Base",AC160,IF(Case_Scenario="bear",AC161,"N/A")))</f>
        <v>0</v>
      </c>
      <c r="AD158" s="299"/>
      <c r="AE158" s="299">
        <f>IF(Case_Scenario="Bull",AE159,IF(Case_Scenario="Base",AE160,IF(Case_Scenario="bear",AE161,"N/A")))</f>
        <v>0</v>
      </c>
      <c r="AF158" s="299">
        <f>IF(Case_Scenario="Bull",AF159,IF(Case_Scenario="Base",AF160,IF(Case_Scenario="bear",AF161,"N/A")))</f>
        <v>0</v>
      </c>
      <c r="AG158" s="299">
        <f>IF(Case_Scenario="Bull",AG159,IF(Case_Scenario="Base",AG160,IF(Case_Scenario="bear",AG161,"N/A")))</f>
        <v>0</v>
      </c>
      <c r="AH158" s="8"/>
      <c r="AI158" s="8"/>
      <c r="AJ158" s="8"/>
    </row>
    <row r="159" ht="12.75" customHeight="1" spans="1:36" x14ac:dyDescent="0.25" outlineLevel="1" collapsed="1">
      <c r="A159" s="8"/>
      <c r="B159" s="8"/>
      <c r="C159" s="130" t="s">
        <v>249</v>
      </c>
      <c r="D159" s="8"/>
      <c r="E159" s="160"/>
      <c r="F159" s="312"/>
      <c r="G159" s="312"/>
      <c r="H159" s="312"/>
      <c r="I159" s="312"/>
      <c r="J159" s="160"/>
      <c r="K159" s="312"/>
      <c r="L159" s="312"/>
      <c r="M159" s="312"/>
      <c r="N159" s="312"/>
      <c r="O159" s="160"/>
      <c r="P159" s="312"/>
      <c r="Q159" s="312"/>
      <c r="R159" s="312"/>
      <c r="S159" s="312"/>
      <c r="T159" s="160"/>
      <c r="U159" s="313">
        <v>0</v>
      </c>
      <c r="V159" s="313">
        <v>0</v>
      </c>
      <c r="W159" s="313">
        <v>0</v>
      </c>
      <c r="X159" s="313">
        <v>0</v>
      </c>
      <c r="Y159" s="314"/>
      <c r="Z159" s="313">
        <v>0</v>
      </c>
      <c r="AA159" s="313">
        <v>0</v>
      </c>
      <c r="AB159" s="313">
        <v>0</v>
      </c>
      <c r="AC159" s="313">
        <v>0</v>
      </c>
      <c r="AD159" s="314"/>
      <c r="AE159" s="314">
        <v>0</v>
      </c>
      <c r="AF159" s="314">
        <v>0</v>
      </c>
      <c r="AG159" s="314">
        <v>0</v>
      </c>
      <c r="AH159" s="8"/>
      <c r="AI159" s="8"/>
      <c r="AJ159" s="8"/>
    </row>
    <row r="160" ht="12.75" customHeight="1" spans="1:36" x14ac:dyDescent="0.25" outlineLevel="1" collapsed="1">
      <c r="A160" s="8"/>
      <c r="B160" s="8"/>
      <c r="C160" s="130" t="s">
        <v>250</v>
      </c>
      <c r="D160" s="8"/>
      <c r="E160" s="160"/>
      <c r="F160" s="312"/>
      <c r="G160" s="312"/>
      <c r="H160" s="312"/>
      <c r="I160" s="312"/>
      <c r="J160" s="160"/>
      <c r="K160" s="312"/>
      <c r="L160" s="312"/>
      <c r="M160" s="312"/>
      <c r="N160" s="312"/>
      <c r="O160" s="160"/>
      <c r="P160" s="312"/>
      <c r="Q160" s="312"/>
      <c r="R160" s="312"/>
      <c r="S160" s="312"/>
      <c r="T160" s="160"/>
      <c r="U160" s="313">
        <v>0</v>
      </c>
      <c r="V160" s="313">
        <v>0</v>
      </c>
      <c r="W160" s="313">
        <v>0</v>
      </c>
      <c r="X160" s="313">
        <v>0</v>
      </c>
      <c r="Y160" s="314"/>
      <c r="Z160" s="313">
        <v>0</v>
      </c>
      <c r="AA160" s="313">
        <v>0</v>
      </c>
      <c r="AB160" s="313">
        <v>0</v>
      </c>
      <c r="AC160" s="313">
        <v>0</v>
      </c>
      <c r="AD160" s="314"/>
      <c r="AE160" s="314">
        <v>0</v>
      </c>
      <c r="AF160" s="314">
        <v>0</v>
      </c>
      <c r="AG160" s="314">
        <v>0</v>
      </c>
      <c r="AH160" s="8"/>
      <c r="AI160" s="8"/>
      <c r="AJ160" s="8"/>
    </row>
    <row r="161" ht="12.75" customHeight="1" spans="1:36" x14ac:dyDescent="0.25" outlineLevel="1" collapsed="1">
      <c r="A161" s="8"/>
      <c r="B161" s="8"/>
      <c r="C161" s="130" t="s">
        <v>251</v>
      </c>
      <c r="D161" s="8"/>
      <c r="E161" s="160"/>
      <c r="F161" s="312"/>
      <c r="G161" s="312"/>
      <c r="H161" s="312"/>
      <c r="I161" s="312"/>
      <c r="J161" s="160"/>
      <c r="K161" s="312"/>
      <c r="L161" s="312"/>
      <c r="M161" s="312"/>
      <c r="N161" s="312"/>
      <c r="O161" s="160"/>
      <c r="P161" s="312"/>
      <c r="Q161" s="312"/>
      <c r="R161" s="312"/>
      <c r="S161" s="312"/>
      <c r="T161" s="160"/>
      <c r="U161" s="313">
        <v>0</v>
      </c>
      <c r="V161" s="313">
        <v>0</v>
      </c>
      <c r="W161" s="313">
        <v>0</v>
      </c>
      <c r="X161" s="313">
        <v>0</v>
      </c>
      <c r="Y161" s="314"/>
      <c r="Z161" s="313">
        <v>0</v>
      </c>
      <c r="AA161" s="313">
        <v>0</v>
      </c>
      <c r="AB161" s="313">
        <v>0</v>
      </c>
      <c r="AC161" s="313">
        <v>0</v>
      </c>
      <c r="AD161" s="314"/>
      <c r="AE161" s="314">
        <v>0</v>
      </c>
      <c r="AF161" s="314">
        <v>0</v>
      </c>
      <c r="AG161" s="314">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57" t="s">
        <v>3</v>
      </c>
      <c r="B163" s="8"/>
      <c r="C163" s="53" t="s">
        <v>256</v>
      </c>
      <c r="D163" s="11"/>
      <c r="E163" s="11"/>
      <c r="F163" s="306" t="str">
        <f t="shared" ref="F163:AG163" si="34">F$28</f>
        <v>1Q23</v>
      </c>
      <c r="G163" s="306" t="str">
        <f t="shared" si="34"/>
        <v>2Q23</v>
      </c>
      <c r="H163" s="306" t="str">
        <f t="shared" si="34"/>
        <v>3Q23</v>
      </c>
      <c r="I163" s="306" t="str">
        <f t="shared" si="34"/>
        <v>4Q23</v>
      </c>
      <c r="J163" s="306">
        <f t="shared" si="34"/>
        <v>2023</v>
      </c>
      <c r="K163" s="306" t="str">
        <f t="shared" si="34"/>
        <v>1Q24</v>
      </c>
      <c r="L163" s="306" t="str">
        <f t="shared" si="34"/>
        <v>2Q24</v>
      </c>
      <c r="M163" s="306" t="str">
        <f t="shared" si="34"/>
        <v>3Q24</v>
      </c>
      <c r="N163" s="306" t="str">
        <f t="shared" si="34"/>
        <v>4Q24</v>
      </c>
      <c r="O163" s="306">
        <f t="shared" si="34"/>
        <v>2024</v>
      </c>
      <c r="P163" s="306" t="str">
        <f t="shared" si="34"/>
        <v>1Q25</v>
      </c>
      <c r="Q163" s="306" t="str">
        <f t="shared" si="34"/>
        <v>2Q25</v>
      </c>
      <c r="R163" s="306" t="str">
        <f t="shared" si="34"/>
        <v>3Q25</v>
      </c>
      <c r="S163" s="306" t="str">
        <f t="shared" si="34"/>
        <v>4Q25</v>
      </c>
      <c r="T163" s="306">
        <f t="shared" si="34"/>
        <v>2025</v>
      </c>
      <c r="U163" s="306" t="str">
        <f t="shared" si="34"/>
        <v>1Q26e</v>
      </c>
      <c r="V163" s="306" t="str">
        <f t="shared" si="34"/>
        <v>2Q26e</v>
      </c>
      <c r="W163" s="306" t="str">
        <f t="shared" si="34"/>
        <v>3Q26</v>
      </c>
      <c r="X163" s="306" t="str">
        <f t="shared" si="34"/>
        <v>4Q26e</v>
      </c>
      <c r="Y163" s="306" t="str">
        <f t="shared" si="34"/>
        <v>2026e</v>
      </c>
      <c r="Z163" s="306" t="str">
        <f t="shared" si="34"/>
        <v>1Q27e</v>
      </c>
      <c r="AA163" s="306" t="str">
        <f t="shared" si="34"/>
        <v>2Q27e</v>
      </c>
      <c r="AB163" s="306" t="str">
        <f t="shared" si="34"/>
        <v>3Q27e</v>
      </c>
      <c r="AC163" s="306" t="str">
        <f t="shared" si="34"/>
        <v>4Q27e</v>
      </c>
      <c r="AD163" s="306" t="str">
        <f t="shared" si="34"/>
        <v>2027e</v>
      </c>
      <c r="AE163" s="306" t="str">
        <f t="shared" si="34"/>
        <v>2028e</v>
      </c>
      <c r="AF163" s="306" t="str">
        <f t="shared" si="34"/>
        <v>2029e</v>
      </c>
      <c r="AG163" s="307" t="str">
        <f t="shared" si="34"/>
        <v>2030e</v>
      </c>
      <c r="AH163" s="270"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spans="1:36" x14ac:dyDescent="0.25" outlineLevel="1" collapsed="1">
      <c r="A165" s="8"/>
      <c r="B165" s="8"/>
      <c r="C165" s="130" t="str">
        <f>C32</f>
        <v>Collection Revenue</v>
      </c>
      <c r="D165" s="8"/>
      <c r="E165" s="8"/>
      <c r="F165" s="310">
        <f t="shared" ref="F165:T165" si="35">F32</f>
        <v>2458.4</v>
      </c>
      <c r="G165" s="310">
        <f t="shared" si="35"/>
        <v>2543</v>
      </c>
      <c r="H165" s="310">
        <f t="shared" si="35"/>
        <v>2616.5</v>
      </c>
      <c r="I165" s="310">
        <f t="shared" si="35"/>
        <v>2635</v>
      </c>
      <c r="J165" s="280">
        <f t="shared" si="35"/>
        <v>10252.9</v>
      </c>
      <c r="K165" s="310">
        <f t="shared" si="35"/>
        <v>2662.8</v>
      </c>
      <c r="L165" s="310">
        <f t="shared" si="35"/>
        <v>2722.8</v>
      </c>
      <c r="M165" s="310">
        <f t="shared" si="35"/>
        <v>2741.8</v>
      </c>
      <c r="N165" s="310">
        <f t="shared" si="35"/>
        <v>2728</v>
      </c>
      <c r="O165" s="280">
        <f t="shared" si="35"/>
        <v>10855.400000000001</v>
      </c>
      <c r="P165" s="310">
        <f t="shared" si="35"/>
        <v>2743</v>
      </c>
      <c r="Q165" s="310">
        <f t="shared" si="35"/>
        <v>2822</v>
      </c>
      <c r="R165" s="310">
        <f t="shared" si="35"/>
        <v>2835</v>
      </c>
      <c r="S165" s="310">
        <f t="shared" si="35"/>
        <v>2833</v>
      </c>
      <c r="T165" s="280">
        <f t="shared" si="35"/>
        <v>11233</v>
      </c>
      <c r="U165" s="279">
        <f>U167/U172</f>
        <v>2973.6000000000004</v>
      </c>
      <c r="V165" s="279">
        <f>V167/V172</f>
        <v>3122.2800000000007</v>
      </c>
      <c r="W165" s="279">
        <f>W167/W172</f>
        <v>3278.3940000000007</v>
      </c>
      <c r="X165" s="279">
        <f>X167/X172</f>
        <v>3442.313700000001</v>
      </c>
      <c r="Y165" s="280">
        <f>SUM(U165:X165)</f>
        <v>12816.587700000002</v>
      </c>
      <c r="Z165" s="279">
        <f>Z167/Z172</f>
        <v>3614.4293850000013</v>
      </c>
      <c r="AA165" s="279">
        <f>AA167/AA172</f>
        <v>3795.1508542500014</v>
      </c>
      <c r="AB165" s="279">
        <f>AB167/AB172</f>
        <v>3984.9083969625012</v>
      </c>
      <c r="AC165" s="279">
        <f>AC167/AC172</f>
        <v>4184.153816810626</v>
      </c>
      <c r="AD165" s="280">
        <f>SUM(Z165:AC165)</f>
        <v>15578.64245302313</v>
      </c>
      <c r="AE165" s="280">
        <f>AE167/AE172</f>
        <v>16357.574575674289</v>
      </c>
      <c r="AF165" s="280">
        <f>AF167/AF172</f>
        <v>17175.453304458006</v>
      </c>
      <c r="AG165" s="280">
        <f>AG167/AG172</f>
        <v>18034.225969680905</v>
      </c>
      <c r="AH165" s="8"/>
      <c r="AI165" s="8"/>
      <c r="AJ165" s="8"/>
    </row>
    <row r="166" ht="12.75" customHeight="1" spans="1:36" x14ac:dyDescent="0.25" outlineLevel="1" collapsed="1">
      <c r="A166" s="8"/>
      <c r="B166" s="8"/>
      <c r="C166" s="130" t="s">
        <v>241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49577.00000000001</v>
      </c>
      <c r="P166" s="326">
        <v>50404</v>
      </c>
      <c r="Q166" s="326">
        <v>51925</v>
      </c>
      <c r="R166" s="326">
        <v>57875</v>
      </c>
      <c r="S166" s="326">
        <v>57166</v>
      </c>
      <c r="T166" s="321">
        <f>O166+T167-T165</f>
        <v>57166</v>
      </c>
      <c r="U166" s="322">
        <f>S166+U167-U165</f>
        <v>56422.6</v>
      </c>
      <c r="V166" s="322">
        <f>U166+V167-V165</f>
        <v>55642.03</v>
      </c>
      <c r="W166" s="322">
        <f>V166+W167-W165</f>
        <v>54822.4315</v>
      </c>
      <c r="X166" s="322">
        <f>W166+X167-X165</f>
        <v>53961.853075</v>
      </c>
      <c r="Y166" s="321">
        <f>T166+Y167-Y165</f>
        <v>53961.85307499999</v>
      </c>
      <c r="Z166" s="322">
        <f>X166+Z167-Z165</f>
        <v>53058.24572875</v>
      </c>
      <c r="AA166" s="322">
        <f>Z166+AA167-AA165</f>
        <v>52109.4580151875</v>
      </c>
      <c r="AB166" s="322">
        <f>AA166+AB167-AB165</f>
        <v>51113.23091594688</v>
      </c>
      <c r="AC166" s="322">
        <f>AB166+AC167-AC165</f>
        <v>50067.19246174422</v>
      </c>
      <c r="AD166" s="321">
        <f>Y166+AD167-AD165</f>
        <v>50067.19246174421</v>
      </c>
      <c r="AE166" s="321">
        <f>AD166+AE167-AE165</f>
        <v>45977.79881782564</v>
      </c>
      <c r="AF166" s="321">
        <f>AE166+AF167-AF165</f>
        <v>41683.935491711134</v>
      </c>
      <c r="AG166" s="321">
        <f>AF166+AG167-AG165</f>
        <v>37175.37899929091</v>
      </c>
      <c r="AH166" s="8"/>
      <c r="AI166" s="8"/>
      <c r="AJ166" s="8"/>
    </row>
    <row r="167" ht="12.75" customHeight="1" spans="1:36" x14ac:dyDescent="0.25" outlineLevel="1" collapsed="1">
      <c r="A167" s="8"/>
      <c r="B167" s="8"/>
      <c r="C167" s="130" t="s">
        <v>257</v>
      </c>
      <c r="D167" s="8"/>
      <c r="E167" s="8"/>
      <c r="F167" s="326">
        <f>F166+F165-(45187+12488)</f>
        <v>1096.4000000000015</v>
      </c>
      <c r="G167" s="326">
        <f>G166+G165-F166</f>
        <v>1586</v>
      </c>
      <c r="H167" s="326">
        <f>H166+H165-G166</f>
        <v>283.5</v>
      </c>
      <c r="I167" s="326">
        <f>I166+I165-H166</f>
        <v>6746</v>
      </c>
      <c r="J167" s="321">
        <f>SUM(F167:I167)</f>
        <v>9711.900000000001</v>
      </c>
      <c r="K167" s="326">
        <f>K166+K165-J166</f>
        <v>8136.800000000003</v>
      </c>
      <c r="L167" s="326">
        <f>L166+L165-K166</f>
        <v>-1545.199999999997</v>
      </c>
      <c r="M167" s="326">
        <f>M166+M165-L166</f>
        <v>-9746.199999999997</v>
      </c>
      <c r="N167" s="326">
        <f>N166+N165-M166</f>
        <v>6453</v>
      </c>
      <c r="O167" s="321">
        <f>SUM(K167:N167)</f>
        <v>3298.4000000000087</v>
      </c>
      <c r="P167" s="326">
        <f>P166+P165-O166</f>
        <v>3569.9999999999927</v>
      </c>
      <c r="Q167" s="326">
        <f>Q166+Q165-P166</f>
        <v>4343</v>
      </c>
      <c r="R167" s="326">
        <f>R166+R165-Q166</f>
        <v>8785</v>
      </c>
      <c r="S167" s="326">
        <f>S166+S165-R166</f>
        <v>2124</v>
      </c>
      <c r="T167" s="321">
        <f>SUM(P167:S167)</f>
        <v>18821.999999999993</v>
      </c>
      <c r="U167" s="322">
        <f>S167*(1+U168)</f>
        <v>2230.2000000000003</v>
      </c>
      <c r="V167" s="322">
        <f>U167*(1+V168)</f>
        <v>2341.7100000000005</v>
      </c>
      <c r="W167" s="322">
        <f>V167*(1+W168)</f>
        <v>2458.7955000000006</v>
      </c>
      <c r="X167" s="322">
        <f>W167*(1+X168)</f>
        <v>2581.735275000001</v>
      </c>
      <c r="Y167" s="321">
        <f>SUM(U167:X167)</f>
        <v>9612.440775000003</v>
      </c>
      <c r="Z167" s="322">
        <f>X167*(1+Z168)</f>
        <v>2710.822038750001</v>
      </c>
      <c r="AA167" s="322">
        <f>Z167*(1+AA168)</f>
        <v>2846.363140687501</v>
      </c>
      <c r="AB167" s="322">
        <f>AA167*(1+AB168)</f>
        <v>2988.681297721876</v>
      </c>
      <c r="AC167" s="322">
        <f>AB167*(1+AC168)</f>
        <v>3138.11536260797</v>
      </c>
      <c r="AD167" s="321">
        <f>SUM(Z167:AC167)</f>
        <v>11683.981839767348</v>
      </c>
      <c r="AE167" s="321">
        <f>AD167*(1+AE168)</f>
        <v>12268.180931755716</v>
      </c>
      <c r="AF167" s="321">
        <f>AE167*(1+AF168)</f>
        <v>12881.589978343503</v>
      </c>
      <c r="AG167" s="321">
        <f>AF167*(1+AG168)</f>
        <v>13525.669477260679</v>
      </c>
      <c r="AH167" s="8"/>
      <c r="AI167" s="8"/>
      <c r="AJ167" s="8"/>
    </row>
    <row r="168" ht="12.75" customHeight="1" spans="1:36" x14ac:dyDescent="0.25" outlineLevel="1" collapsed="1">
      <c r="A168" s="8"/>
      <c r="B168" s="8"/>
      <c r="C168" s="111" t="s">
        <v>258</v>
      </c>
      <c r="D168" s="8"/>
      <c r="E168" s="8"/>
      <c r="F168" s="312"/>
      <c r="G168" s="311">
        <f>IFERROR(G167/F167-1,"--")</f>
        <v>0.4465523531557807</v>
      </c>
      <c r="H168" s="311">
        <f>IFERROR(H167/G167-1,"--")</f>
        <v>-0.8212484237074401</v>
      </c>
      <c r="I168" s="311">
        <f>IFERROR(I167/H167-1,"--")</f>
        <v>22.79541446208113</v>
      </c>
      <c r="J168" s="160"/>
      <c r="K168" s="311">
        <f>IFERROR(K167/I167-1,"--")</f>
        <v>0.2061666172546699</v>
      </c>
      <c r="L168" s="311">
        <f>IFERROR(L167/K167-1,"--")</f>
        <v>-1.1899026644381079</v>
      </c>
      <c r="M168" s="311">
        <f>IFERROR(M167/L167-1,"--")</f>
        <v>5.3074035723531034</v>
      </c>
      <c r="N168" s="311">
        <f>IFERROR(N167/M167-1,"--")</f>
        <v>-1.6621042047156842</v>
      </c>
      <c r="O168" s="299">
        <f>IFERROR(O167/J167-1,"--")</f>
        <v>-0.6603754157270969</v>
      </c>
      <c r="P168" s="311">
        <f>IFERROR(P167/N167-1,"--")</f>
        <v>-0.44676894467689554</v>
      </c>
      <c r="Q168" s="311">
        <f>IFERROR(Q167/P167-1,"--")</f>
        <v>0.21652661064426026</v>
      </c>
      <c r="R168" s="311">
        <f>IFERROR(R167/Q167-1,"--")</f>
        <v>1.0227953027860925</v>
      </c>
      <c r="S168" s="311">
        <f>IFERROR(S167/R167-1,"--")</f>
        <v>-0.7582242458736482</v>
      </c>
      <c r="T168" s="299">
        <f>IFERROR(T167/O167-1,"--")</f>
        <v>4.706403104535515</v>
      </c>
      <c r="U168" s="298">
        <f>IF(Case_Scenario="Bull",U169,IF(Case_Scenario="Base",U170,IF(Case_Scenario="bear",U171,"N/A")))</f>
        <v>0.05</v>
      </c>
      <c r="V168" s="298">
        <f>IF(Case_Scenario="Bull",V169,IF(Case_Scenario="Base",V170,IF(Case_Scenario="bear",V171,"N/A")))</f>
        <v>0.05</v>
      </c>
      <c r="W168" s="298">
        <f>IF(Case_Scenario="Bull",W169,IF(Case_Scenario="Base",W170,IF(Case_Scenario="bear",W171,"N/A")))</f>
        <v>0.05</v>
      </c>
      <c r="X168" s="298">
        <f>IF(Case_Scenario="Bull",X169,IF(Case_Scenario="Base",X170,IF(Case_Scenario="bear",X171,"N/A")))</f>
        <v>0.05</v>
      </c>
      <c r="Y168" s="299"/>
      <c r="Z168" s="298">
        <f>IF(Case_Scenario="Bull",Z169,IF(Case_Scenario="Base",Z170,IF(Case_Scenario="bear",Z171,"N/A")))</f>
        <v>0.05</v>
      </c>
      <c r="AA168" s="298">
        <f>IF(Case_Scenario="Bull",AA169,IF(Case_Scenario="Base",AA170,IF(Case_Scenario="bear",AA171,"N/A")))</f>
        <v>0.05</v>
      </c>
      <c r="AB168" s="298">
        <f>IF(Case_Scenario="Bull",AB169,IF(Case_Scenario="Base",AB170,IF(Case_Scenario="bear",AB171,"N/A")))</f>
        <v>0.05</v>
      </c>
      <c r="AC168" s="298">
        <f>IF(Case_Scenario="Bull",AC169,IF(Case_Scenario="Base",AC170,IF(Case_Scenario="bear",AC171,"N/A")))</f>
        <v>0.05</v>
      </c>
      <c r="AD168" s="299"/>
      <c r="AE168" s="299">
        <f>IF(Case_Scenario="Bull",AE169,IF(Case_Scenario="Base",AE170,IF(Case_Scenario="bear",AE171,"N/A")))</f>
        <v>0.05</v>
      </c>
      <c r="AF168" s="299">
        <f>IF(Case_Scenario="Bull",AF169,IF(Case_Scenario="Base",AF170,IF(Case_Scenario="bear",AF171,"N/A")))</f>
        <v>0.05</v>
      </c>
      <c r="AG168" s="299">
        <f>IF(Case_Scenario="Bull",AG169,IF(Case_Scenario="Base",AG170,IF(Case_Scenario="bear",AG171,"N/A")))</f>
        <v>0.05</v>
      </c>
      <c r="AH168" s="8"/>
      <c r="AI168" s="8"/>
      <c r="AJ168" s="8"/>
    </row>
    <row r="169" ht="12.75" customHeight="1" spans="1:36" x14ac:dyDescent="0.25" outlineLevel="1" collapsed="1">
      <c r="A169" s="8"/>
      <c r="B169" s="8"/>
      <c r="C169" s="130" t="s">
        <v>249</v>
      </c>
      <c r="D169" s="8"/>
      <c r="E169" s="8"/>
      <c r="F169" s="312"/>
      <c r="G169" s="312"/>
      <c r="H169" s="312"/>
      <c r="I169" s="312"/>
      <c r="J169" s="160"/>
      <c r="K169" s="312"/>
      <c r="L169" s="312"/>
      <c r="M169" s="312"/>
      <c r="N169" s="312"/>
      <c r="O169" s="160"/>
      <c r="P169" s="312"/>
      <c r="Q169" s="312"/>
      <c r="R169" s="312"/>
      <c r="S169" s="312"/>
      <c r="T169" s="160"/>
      <c r="U169" s="313">
        <v>0.1</v>
      </c>
      <c r="V169" s="313">
        <v>0.1</v>
      </c>
      <c r="W169" s="313">
        <v>0.1</v>
      </c>
      <c r="X169" s="313">
        <v>0.1</v>
      </c>
      <c r="Y169" s="314"/>
      <c r="Z169" s="313">
        <v>0.1</v>
      </c>
      <c r="AA169" s="313">
        <v>0.1</v>
      </c>
      <c r="AB169" s="313">
        <v>0.1</v>
      </c>
      <c r="AC169" s="313">
        <v>0.1</v>
      </c>
      <c r="AD169" s="314"/>
      <c r="AE169" s="314">
        <v>0.1</v>
      </c>
      <c r="AF169" s="314">
        <v>0.1</v>
      </c>
      <c r="AG169" s="314">
        <v>0.1</v>
      </c>
      <c r="AH169" s="8"/>
      <c r="AI169" s="8"/>
      <c r="AJ169" s="8"/>
    </row>
    <row r="170" ht="12.75" customHeight="1" spans="1:36" x14ac:dyDescent="0.25" outlineLevel="1" collapsed="1">
      <c r="A170" s="8"/>
      <c r="B170" s="8"/>
      <c r="C170" s="130" t="s">
        <v>250</v>
      </c>
      <c r="D170" s="8"/>
      <c r="E170" s="8"/>
      <c r="F170" s="312"/>
      <c r="G170" s="312"/>
      <c r="H170" s="312"/>
      <c r="I170" s="312"/>
      <c r="J170" s="160"/>
      <c r="K170" s="312"/>
      <c r="L170" s="312"/>
      <c r="M170" s="312"/>
      <c r="N170" s="312"/>
      <c r="O170" s="160"/>
      <c r="P170" s="312"/>
      <c r="Q170" s="312"/>
      <c r="R170" s="312"/>
      <c r="S170" s="312"/>
      <c r="T170" s="160"/>
      <c r="U170" s="313">
        <v>0.05</v>
      </c>
      <c r="V170" s="313">
        <v>0.05</v>
      </c>
      <c r="W170" s="313">
        <v>0.05</v>
      </c>
      <c r="X170" s="313">
        <v>0.05</v>
      </c>
      <c r="Y170" s="314"/>
      <c r="Z170" s="313">
        <v>0.05</v>
      </c>
      <c r="AA170" s="313">
        <v>0.05</v>
      </c>
      <c r="AB170" s="313">
        <v>0.05</v>
      </c>
      <c r="AC170" s="313">
        <v>0.05</v>
      </c>
      <c r="AD170" s="314"/>
      <c r="AE170" s="314">
        <v>0.05</v>
      </c>
      <c r="AF170" s="314">
        <v>0.05</v>
      </c>
      <c r="AG170" s="314">
        <v>0.05</v>
      </c>
      <c r="AH170" s="8"/>
      <c r="AI170" s="8"/>
      <c r="AJ170" s="8"/>
    </row>
    <row r="171" ht="12.75" customHeight="1" spans="1:36" x14ac:dyDescent="0.25" outlineLevel="1" collapsed="1">
      <c r="A171" s="8"/>
      <c r="B171" s="8"/>
      <c r="C171" s="130" t="s">
        <v>251</v>
      </c>
      <c r="D171" s="8"/>
      <c r="E171" s="8"/>
      <c r="F171" s="312"/>
      <c r="G171" s="312"/>
      <c r="H171" s="312"/>
      <c r="I171" s="312"/>
      <c r="J171" s="160"/>
      <c r="K171" s="312"/>
      <c r="L171" s="312"/>
      <c r="M171" s="312"/>
      <c r="N171" s="312"/>
      <c r="O171" s="160"/>
      <c r="P171" s="312"/>
      <c r="Q171" s="312"/>
      <c r="R171" s="312"/>
      <c r="S171" s="312"/>
      <c r="T171" s="160"/>
      <c r="U171" s="313">
        <v>0</v>
      </c>
      <c r="V171" s="313">
        <v>0</v>
      </c>
      <c r="W171" s="313">
        <v>0</v>
      </c>
      <c r="X171" s="313">
        <v>0</v>
      </c>
      <c r="Y171" s="314"/>
      <c r="Z171" s="313">
        <v>0</v>
      </c>
      <c r="AA171" s="313">
        <v>0</v>
      </c>
      <c r="AB171" s="313">
        <v>0</v>
      </c>
      <c r="AC171" s="313">
        <v>0</v>
      </c>
      <c r="AD171" s="314"/>
      <c r="AE171" s="314">
        <v>0</v>
      </c>
      <c r="AF171" s="314">
        <v>0</v>
      </c>
      <c r="AG171" s="314">
        <v>0</v>
      </c>
      <c r="AH171" s="8"/>
      <c r="AI171" s="8"/>
      <c r="AJ171" s="8"/>
    </row>
    <row r="172" ht="12.75" customHeight="1" spans="1:36" x14ac:dyDescent="0.25" outlineLevel="1" collapsed="1">
      <c r="A172" s="8"/>
      <c r="B172" s="8"/>
      <c r="C172" s="130" t="s">
        <v>259</v>
      </c>
      <c r="D172" s="8"/>
      <c r="E172" s="8"/>
      <c r="F172" s="327">
        <f t="shared" ref="F172:T172" si="36">F167/F165</f>
        <v>0.44598112593556843</v>
      </c>
      <c r="G172" s="327">
        <f t="shared" si="36"/>
        <v>0.6236728273692489</v>
      </c>
      <c r="H172" s="327">
        <f t="shared" si="36"/>
        <v>0.1083508503726352</v>
      </c>
      <c r="I172" s="327">
        <f t="shared" si="36"/>
        <v>2.5601518026565464</v>
      </c>
      <c r="J172" s="328">
        <f t="shared" si="36"/>
        <v>0.9472344409874282</v>
      </c>
      <c r="K172" s="327">
        <f t="shared" si="36"/>
        <v>3.0557308096740283</v>
      </c>
      <c r="L172" s="327">
        <f t="shared" si="36"/>
        <v>-0.5675040399588648</v>
      </c>
      <c r="M172" s="327">
        <f t="shared" si="36"/>
        <v>-3.5546721132102985</v>
      </c>
      <c r="N172" s="327">
        <f t="shared" si="36"/>
        <v>2.3654692082111435</v>
      </c>
      <c r="O172" s="328">
        <f t="shared" si="36"/>
        <v>0.30384877572452496</v>
      </c>
      <c r="P172" s="327">
        <f t="shared" si="36"/>
        <v>1.3014947138169861</v>
      </c>
      <c r="Q172" s="327">
        <f t="shared" si="36"/>
        <v>1.538979447200567</v>
      </c>
      <c r="R172" s="327">
        <f t="shared" si="36"/>
        <v>3.0987654320987654</v>
      </c>
      <c r="S172" s="327">
        <f t="shared" si="36"/>
        <v>0.7497352629721143</v>
      </c>
      <c r="T172" s="328">
        <f t="shared" si="36"/>
        <v>1.6755986824534845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spans="1:36" x14ac:dyDescent="0.25" outlineLevel="1" collapsed="1">
      <c r="A173" s="8"/>
      <c r="B173" s="8"/>
      <c r="C173" s="130" t="s">
        <v>249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spans="1:36" x14ac:dyDescent="0.25" outlineLevel="1" collapsed="1">
      <c r="A174" s="8"/>
      <c r="B174" s="8"/>
      <c r="C174" s="130" t="s">
        <v>250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spans="1:36" x14ac:dyDescent="0.25" outlineLevel="1" collapsed="1">
      <c r="A175" s="8"/>
      <c r="B175" s="8"/>
      <c r="C175" s="130" t="s">
        <v>251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spans="1:36" x14ac:dyDescent="0.25" outlineLevel="1" collapsed="1">
      <c r="A176" s="8"/>
      <c r="B176" s="8"/>
      <c r="C176" s="8"/>
      <c r="D176" s="8"/>
      <c r="E176" s="8"/>
      <c r="F176" s="312"/>
      <c r="G176" s="312"/>
      <c r="H176" s="312"/>
      <c r="I176" s="312"/>
      <c r="J176" s="160"/>
      <c r="K176" s="312"/>
      <c r="L176" s="312"/>
      <c r="M176" s="312"/>
      <c r="N176" s="312"/>
      <c r="O176" s="160"/>
      <c r="P176" s="312"/>
      <c r="Q176" s="312"/>
      <c r="R176" s="312"/>
      <c r="S176" s="312"/>
      <c r="T176" s="160"/>
      <c r="U176" s="313"/>
      <c r="V176" s="313"/>
      <c r="W176" s="313"/>
      <c r="X176" s="313"/>
      <c r="Y176" s="314"/>
      <c r="Z176" s="313"/>
      <c r="AA176" s="313"/>
      <c r="AB176" s="313"/>
      <c r="AC176" s="313"/>
      <c r="AD176" s="314"/>
      <c r="AE176" s="314"/>
      <c r="AF176" s="314"/>
      <c r="AG176" s="314"/>
      <c r="AH176" s="8"/>
      <c r="AI176" s="8"/>
      <c r="AJ176" s="8"/>
    </row>
    <row r="177" ht="12.75" customHeight="1" spans="1:36" x14ac:dyDescent="0.25" outlineLevel="1" collapsed="1">
      <c r="A177" s="257" t="s">
        <v>3</v>
      </c>
      <c r="B177" s="8"/>
      <c r="C177" s="130" t="str">
        <f>C35</f>
        <v>Landfill Revenue</v>
      </c>
      <c r="D177" s="8"/>
      <c r="E177" s="8"/>
      <c r="F177" s="310">
        <f t="shared" ref="F177:T177" si="37">F35</f>
        <v>392.6</v>
      </c>
      <c r="G177" s="310">
        <f t="shared" si="37"/>
        <v>431</v>
      </c>
      <c r="H177" s="310">
        <f t="shared" si="37"/>
        <v>436.3</v>
      </c>
      <c r="I177" s="310">
        <f t="shared" si="37"/>
        <v>419.6</v>
      </c>
      <c r="J177" s="280">
        <f t="shared" si="37"/>
        <v>1679.5</v>
      </c>
      <c r="K177" s="310">
        <f t="shared" si="37"/>
        <v>404.4</v>
      </c>
      <c r="L177" s="310">
        <f t="shared" si="37"/>
        <v>440.2</v>
      </c>
      <c r="M177" s="310">
        <f t="shared" si="37"/>
        <v>452.8</v>
      </c>
      <c r="N177" s="310">
        <f t="shared" si="37"/>
        <v>443</v>
      </c>
      <c r="O177" s="280">
        <f t="shared" si="37"/>
        <v>1740.3999999999999</v>
      </c>
      <c r="P177" s="310">
        <f t="shared" si="37"/>
        <v>421</v>
      </c>
      <c r="Q177" s="310">
        <f t="shared" si="37"/>
        <v>516</v>
      </c>
      <c r="R177" s="310">
        <f t="shared" si="37"/>
        <v>516</v>
      </c>
      <c r="S177" s="310">
        <f t="shared" si="37"/>
        <v>467</v>
      </c>
      <c r="T177" s="280">
        <f t="shared" si="37"/>
        <v>1920</v>
      </c>
      <c r="U177" s="279">
        <f>U179/U184</f>
        <v>-243.6</v>
      </c>
      <c r="V177" s="279">
        <f>V179/V184</f>
        <v>-255.78000000000003</v>
      </c>
      <c r="W177" s="279">
        <f>W179/W184</f>
        <v>-268.5690000000001</v>
      </c>
      <c r="X177" s="279">
        <f>X179/X184</f>
        <v>-281.9974500000001</v>
      </c>
      <c r="Y177" s="280">
        <f>SUM(U177:X177)</f>
        <v>-1049.9464500000001</v>
      </c>
      <c r="Z177" s="279">
        <f>Z179/Z184</f>
        <v>-296.09732250000013</v>
      </c>
      <c r="AA177" s="279">
        <f>AA179/AA184</f>
        <v>-310.9021886250001</v>
      </c>
      <c r="AB177" s="279">
        <f>AB179/AB184</f>
        <v>-326.44729805625013</v>
      </c>
      <c r="AC177" s="279">
        <f>AC179/AC184</f>
        <v>-342.76966295906266</v>
      </c>
      <c r="AD177" s="280">
        <f>SUM(Z177:AC177)</f>
        <v>-1276.216472140313</v>
      </c>
      <c r="AE177" s="280">
        <f>AE179/AE184</f>
        <v>-1340.0272957473285</v>
      </c>
      <c r="AF177" s="280">
        <f>AF179/AF184</f>
        <v>-1407.028660534695</v>
      </c>
      <c r="AG177" s="280">
        <f>AG179/AG184</f>
        <v>-1477.3800935614297</v>
      </c>
      <c r="AH177" s="8"/>
      <c r="AI177" s="8"/>
      <c r="AJ177" s="8"/>
    </row>
    <row r="178" ht="12.75" customHeight="1" spans="1:36" x14ac:dyDescent="0.25" outlineLevel="1" collapsed="1">
      <c r="A178" s="8"/>
      <c r="B178" s="8"/>
      <c r="C178" s="130" t="s">
        <v>241</v>
      </c>
      <c r="D178" s="8"/>
      <c r="E178" s="8"/>
      <c r="F178" s="320">
        <f>422982+632</f>
        <v>423614</v>
      </c>
      <c r="G178" s="320">
        <f>416576+282</f>
        <v>416858</v>
      </c>
      <c r="H178" s="320">
        <f>408756+219</f>
        <v>408975</v>
      </c>
      <c r="I178" s="320">
        <f>416198+160</f>
        <v>416358</v>
      </c>
      <c r="J178" s="321">
        <f>431408+216+J179-J177</f>
        <v>416357.99999999994</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412246.1</v>
      </c>
      <c r="V178" s="322">
        <f>U178+V179-V177</f>
        <v>412182.155</v>
      </c>
      <c r="W178" s="322">
        <f>V178+W179-W177</f>
        <v>412115.01275000005</v>
      </c>
      <c r="X178" s="322">
        <f>W178+X179-X177</f>
        <v>412044.5133875001</v>
      </c>
      <c r="Y178" s="321">
        <f>T178+Y179-Y177</f>
        <v>412044.5133875</v>
      </c>
      <c r="Z178" s="322">
        <f>X178+Z179-Z177</f>
        <v>411970.4890568751</v>
      </c>
      <c r="AA178" s="322">
        <f>Z178+AA179-AA177</f>
        <v>411892.7635097189</v>
      </c>
      <c r="AB178" s="322">
        <f>AA178+AB179-AB177</f>
        <v>411811.1516852048</v>
      </c>
      <c r="AC178" s="322">
        <f>AB178+AC179-AC177</f>
        <v>411725.459269465</v>
      </c>
      <c r="AD178" s="321">
        <f>Y178+AD179-AD177</f>
        <v>411725.45926946495</v>
      </c>
      <c r="AE178" s="321">
        <f>AD178+AE179-AE177</f>
        <v>411390.4524455281</v>
      </c>
      <c r="AF178" s="321">
        <f>AE178+AF179-AF177</f>
        <v>411038.69528039446</v>
      </c>
      <c r="AG178" s="321">
        <f>AF178+AG179-AG177</f>
        <v>410669.3502570041</v>
      </c>
      <c r="AH178" s="8"/>
      <c r="AI178" s="8"/>
      <c r="AJ178" s="8"/>
    </row>
    <row r="179" ht="12.75" customHeight="1" spans="1:36" x14ac:dyDescent="0.25" outlineLevel="1" collapsed="1">
      <c r="A179" s="8"/>
      <c r="B179" s="8"/>
      <c r="C179" s="130" t="s">
        <v>257</v>
      </c>
      <c r="D179" s="8"/>
      <c r="E179" s="8"/>
      <c r="F179" s="320">
        <f>F178+F177-(431408+216)</f>
        <v>-7617.400000000023</v>
      </c>
      <c r="G179" s="320">
        <f>G178+G177-F178</f>
        <v>-6325</v>
      </c>
      <c r="H179" s="320">
        <f>H178+H177-G178</f>
        <v>-7446.700000000012</v>
      </c>
      <c r="I179" s="320">
        <f>I178+I177-H178</f>
        <v>7802.599999999977</v>
      </c>
      <c r="J179" s="321">
        <f>SUM(F179:I179)</f>
        <v>-13586.500000000058</v>
      </c>
      <c r="K179" s="320">
        <f>K178+K177-J178</f>
        <v>942.4000000000815</v>
      </c>
      <c r="L179" s="320">
        <f>L178+L177-K178</f>
        <v>7366.200000000012</v>
      </c>
      <c r="M179" s="320">
        <f>M178+M177-L178</f>
        <v>-11184.200000000012</v>
      </c>
      <c r="N179" s="320">
        <f>N178+N177-M178</f>
        <v>9603</v>
      </c>
      <c r="O179" s="321">
        <f>SUM(K179:N179)</f>
        <v>6727.4000000000815</v>
      </c>
      <c r="P179" s="320">
        <f>P178+P177-O178</f>
        <v>-5547</v>
      </c>
      <c r="Q179" s="320">
        <f>Q178+Q177-P178</f>
        <v>862</v>
      </c>
      <c r="R179" s="320">
        <f>R178+R177-Q178</f>
        <v>-2143</v>
      </c>
      <c r="S179" s="320">
        <f>S178+S177-R178</f>
        <v>-290</v>
      </c>
      <c r="T179" s="321">
        <f>SUM(P179:S179)</f>
        <v>-7118</v>
      </c>
      <c r="U179" s="322">
        <f>S179*(1+U180)</f>
        <v>-304.5</v>
      </c>
      <c r="V179" s="322">
        <f>U179*(1+V180)</f>
        <v>-319.725</v>
      </c>
      <c r="W179" s="322">
        <f>V179*(1+W180)</f>
        <v>-335.71125000000006</v>
      </c>
      <c r="X179" s="322">
        <f>W179*(1+X180)</f>
        <v>-352.4968125000001</v>
      </c>
      <c r="Y179" s="321">
        <f>SUM(U179:X179)</f>
        <v>-1312.4330625000002</v>
      </c>
      <c r="Z179" s="322">
        <f>X179*(1+Z180)</f>
        <v>-370.12165312500014</v>
      </c>
      <c r="AA179" s="322">
        <f>Z179*(1+AA180)</f>
        <v>-388.6277357812502</v>
      </c>
      <c r="AB179" s="322">
        <f>AA179*(1+AB180)</f>
        <v>-408.0591225703127</v>
      </c>
      <c r="AC179" s="322">
        <f>AB179*(1+AC180)</f>
        <v>-428.46207869882835</v>
      </c>
      <c r="AD179" s="321">
        <f>SUM(Z179:AC179)</f>
        <v>-1595.2705901753911</v>
      </c>
      <c r="AE179" s="321">
        <f>AD179*(1+AE180)</f>
        <v>-1675.0341196841607</v>
      </c>
      <c r="AF179" s="321">
        <f>AE179*(1+AF180)</f>
        <v>-1758.7858256683687</v>
      </c>
      <c r="AG179" s="321">
        <f>AF179*(1+AG180)</f>
        <v>-1846.7251169517872</v>
      </c>
      <c r="AH179" s="8"/>
      <c r="AI179" s="8"/>
      <c r="AJ179" s="8"/>
    </row>
    <row r="180" ht="12.75" customHeight="1" spans="1:36" x14ac:dyDescent="0.25" outlineLevel="1" collapsed="1">
      <c r="A180" s="8"/>
      <c r="B180" s="8"/>
      <c r="C180" s="111" t="s">
        <v>258</v>
      </c>
      <c r="D180" s="8"/>
      <c r="E180" s="8"/>
      <c r="F180" s="312"/>
      <c r="G180" s="311">
        <f>IFERROR(G179/F179-1,"--")</f>
        <v>-0.16966418988106435</v>
      </c>
      <c r="H180" s="311">
        <f>IFERROR(H179/G179-1,"--")</f>
        <v>0.17734387351778835</v>
      </c>
      <c r="I180" s="311">
        <f>IFERROR(I179/H179-1,"--")</f>
        <v>-2.047792982126306</v>
      </c>
      <c r="J180" s="160"/>
      <c r="K180" s="311">
        <f>IFERROR(K179/I179-1,"--")</f>
        <v>-0.8792197472637218</v>
      </c>
      <c r="L180" s="311">
        <f>IFERROR(L179/K179-1,"--")</f>
        <v>6.8164261460095235</v>
      </c>
      <c r="M180" s="311">
        <f>IFERROR(M179/L179-1,"--")</f>
        <v>-2.5183133773180195</v>
      </c>
      <c r="N180" s="311">
        <f>IFERROR(N179/M179-1,"--")</f>
        <v>-1.8586219845853964</v>
      </c>
      <c r="O180" s="299">
        <f>IFERROR(O179/J179-1,"--")</f>
        <v>-1.4951532771501161</v>
      </c>
      <c r="P180" s="311">
        <f>IFERROR(P179/N179-1,"--")</f>
        <v>-1.5776319900031242</v>
      </c>
      <c r="Q180" s="311">
        <f>IFERROR(Q179/P179-1,"--")</f>
        <v>-1.1553993149450152</v>
      </c>
      <c r="R180" s="311">
        <f>IFERROR(R179/Q179-1,"--")</f>
        <v>-3.4860788863109047</v>
      </c>
      <c r="S180" s="311">
        <f>IFERROR(S179/R179-1,"--")</f>
        <v>-0.8646756882874476</v>
      </c>
      <c r="T180" s="299">
        <f>IFERROR(T179/O179-1,"--")</f>
        <v>-2.0580610637095926</v>
      </c>
      <c r="U180" s="298">
        <f>IF(Case_Scenario="Bull",U181,IF(Case_Scenario="Base",U182,IF(Case_Scenario="bear",U183,"N/A")))</f>
        <v>0.05</v>
      </c>
      <c r="V180" s="298">
        <f>IF(Case_Scenario="Bull",V181,IF(Case_Scenario="Base",V182,IF(Case_Scenario="bear",V183,"N/A")))</f>
        <v>0.05</v>
      </c>
      <c r="W180" s="298">
        <f>IF(Case_Scenario="Bull",W181,IF(Case_Scenario="Base",W182,IF(Case_Scenario="bear",W183,"N/A")))</f>
        <v>0.05</v>
      </c>
      <c r="X180" s="298">
        <f>IF(Case_Scenario="Bull",X181,IF(Case_Scenario="Base",X182,IF(Case_Scenario="bear",X183,"N/A")))</f>
        <v>0.05</v>
      </c>
      <c r="Y180" s="299"/>
      <c r="Z180" s="298">
        <f>IF(Case_Scenario="Bull",Z181,IF(Case_Scenario="Base",Z182,IF(Case_Scenario="bear",Z183,"N/A")))</f>
        <v>0.05</v>
      </c>
      <c r="AA180" s="298">
        <f>IF(Case_Scenario="Bull",AA181,IF(Case_Scenario="Base",AA182,IF(Case_Scenario="bear",AA183,"N/A")))</f>
        <v>0.05</v>
      </c>
      <c r="AB180" s="298">
        <f>IF(Case_Scenario="Bull",AB181,IF(Case_Scenario="Base",AB182,IF(Case_Scenario="bear",AB183,"N/A")))</f>
        <v>0.05</v>
      </c>
      <c r="AC180" s="298">
        <f>IF(Case_Scenario="Bull",AC181,IF(Case_Scenario="Base",AC182,IF(Case_Scenario="bear",AC183,"N/A")))</f>
        <v>0.05</v>
      </c>
      <c r="AD180" s="299"/>
      <c r="AE180" s="299">
        <f>IF(Case_Scenario="Bull",AE181,IF(Case_Scenario="Base",AE182,IF(Case_Scenario="bear",AE183,"N/A")))</f>
        <v>0.05</v>
      </c>
      <c r="AF180" s="299">
        <f>IF(Case_Scenario="Bull",AF181,IF(Case_Scenario="Base",AF182,IF(Case_Scenario="bear",AF183,"N/A")))</f>
        <v>0.05</v>
      </c>
      <c r="AG180" s="299">
        <f>IF(Case_Scenario="Bull",AG181,IF(Case_Scenario="Base",AG182,IF(Case_Scenario="bear",AG183,"N/A")))</f>
        <v>0.05</v>
      </c>
      <c r="AH180" s="8"/>
      <c r="AI180" s="8"/>
      <c r="AJ180" s="8"/>
    </row>
    <row r="181" ht="12.75" customHeight="1" spans="1:36" x14ac:dyDescent="0.25" outlineLevel="1" collapsed="1">
      <c r="A181" s="8"/>
      <c r="B181" s="8"/>
      <c r="C181" s="130" t="s">
        <v>249</v>
      </c>
      <c r="D181" s="8"/>
      <c r="E181" s="8"/>
      <c r="F181" s="312"/>
      <c r="G181" s="312"/>
      <c r="H181" s="312"/>
      <c r="I181" s="312"/>
      <c r="J181" s="160"/>
      <c r="K181" s="312"/>
      <c r="L181" s="312"/>
      <c r="M181" s="312"/>
      <c r="N181" s="312"/>
      <c r="O181" s="160"/>
      <c r="P181" s="312"/>
      <c r="Q181" s="312"/>
      <c r="R181" s="312"/>
      <c r="S181" s="312"/>
      <c r="T181" s="160"/>
      <c r="U181" s="313">
        <v>0.1</v>
      </c>
      <c r="V181" s="313">
        <v>0.1</v>
      </c>
      <c r="W181" s="313">
        <v>0.1</v>
      </c>
      <c r="X181" s="313">
        <v>0.1</v>
      </c>
      <c r="Y181" s="314"/>
      <c r="Z181" s="313">
        <v>0.1</v>
      </c>
      <c r="AA181" s="313">
        <v>0.1</v>
      </c>
      <c r="AB181" s="313">
        <v>0.1</v>
      </c>
      <c r="AC181" s="313">
        <v>0.1</v>
      </c>
      <c r="AD181" s="314"/>
      <c r="AE181" s="314">
        <v>0.1</v>
      </c>
      <c r="AF181" s="314">
        <v>0.1</v>
      </c>
      <c r="AG181" s="314">
        <v>0.1</v>
      </c>
      <c r="AH181" s="8"/>
      <c r="AI181" s="8"/>
      <c r="AJ181" s="8"/>
    </row>
    <row r="182" ht="12.75" customHeight="1" spans="1:36" x14ac:dyDescent="0.25" outlineLevel="1" collapsed="1">
      <c r="A182" s="8"/>
      <c r="B182" s="8"/>
      <c r="C182" s="130" t="s">
        <v>250</v>
      </c>
      <c r="D182" s="8"/>
      <c r="E182" s="8"/>
      <c r="F182" s="312"/>
      <c r="G182" s="312"/>
      <c r="H182" s="312"/>
      <c r="I182" s="312"/>
      <c r="J182" s="160"/>
      <c r="K182" s="312"/>
      <c r="L182" s="312"/>
      <c r="M182" s="312"/>
      <c r="N182" s="312"/>
      <c r="O182" s="160"/>
      <c r="P182" s="312"/>
      <c r="Q182" s="312"/>
      <c r="R182" s="312"/>
      <c r="S182" s="312"/>
      <c r="T182" s="160"/>
      <c r="U182" s="313">
        <v>0.05</v>
      </c>
      <c r="V182" s="313">
        <v>0.05</v>
      </c>
      <c r="W182" s="313">
        <v>0.05</v>
      </c>
      <c r="X182" s="313">
        <v>0.05</v>
      </c>
      <c r="Y182" s="314"/>
      <c r="Z182" s="313">
        <v>0.05</v>
      </c>
      <c r="AA182" s="313">
        <v>0.05</v>
      </c>
      <c r="AB182" s="313">
        <v>0.05</v>
      </c>
      <c r="AC182" s="313">
        <v>0.05</v>
      </c>
      <c r="AD182" s="314"/>
      <c r="AE182" s="314">
        <v>0.05</v>
      </c>
      <c r="AF182" s="314">
        <v>0.05</v>
      </c>
      <c r="AG182" s="314">
        <v>0.05</v>
      </c>
      <c r="AH182" s="8"/>
      <c r="AI182" s="8"/>
      <c r="AJ182" s="8"/>
    </row>
    <row r="183" ht="12.75" customHeight="1" spans="1:36" x14ac:dyDescent="0.25" outlineLevel="1" collapsed="1">
      <c r="A183" s="8"/>
      <c r="B183" s="8"/>
      <c r="C183" s="130" t="s">
        <v>251</v>
      </c>
      <c r="D183" s="8"/>
      <c r="E183" s="8"/>
      <c r="F183" s="312"/>
      <c r="G183" s="312"/>
      <c r="H183" s="312"/>
      <c r="I183" s="312"/>
      <c r="J183" s="160"/>
      <c r="K183" s="312"/>
      <c r="L183" s="312"/>
      <c r="M183" s="312"/>
      <c r="N183" s="312"/>
      <c r="O183" s="160"/>
      <c r="P183" s="312"/>
      <c r="Q183" s="312"/>
      <c r="R183" s="312"/>
      <c r="S183" s="312"/>
      <c r="T183" s="160"/>
      <c r="U183" s="313">
        <v>0</v>
      </c>
      <c r="V183" s="313">
        <v>0</v>
      </c>
      <c r="W183" s="313">
        <v>0</v>
      </c>
      <c r="X183" s="313">
        <v>0</v>
      </c>
      <c r="Y183" s="314"/>
      <c r="Z183" s="313">
        <v>0</v>
      </c>
      <c r="AA183" s="313">
        <v>0</v>
      </c>
      <c r="AB183" s="313">
        <v>0</v>
      </c>
      <c r="AC183" s="313">
        <v>0</v>
      </c>
      <c r="AD183" s="314"/>
      <c r="AE183" s="314">
        <v>0</v>
      </c>
      <c r="AF183" s="314">
        <v>0</v>
      </c>
      <c r="AG183" s="314">
        <v>0</v>
      </c>
      <c r="AH183" s="8"/>
      <c r="AI183" s="8"/>
      <c r="AJ183" s="8"/>
    </row>
    <row r="184" ht="12.75" customHeight="1" spans="1:36" x14ac:dyDescent="0.25" outlineLevel="1" collapsed="1">
      <c r="A184" s="8"/>
      <c r="B184" s="8"/>
      <c r="C184" s="130" t="s">
        <v>259</v>
      </c>
      <c r="D184" s="8"/>
      <c r="E184" s="8"/>
      <c r="F184" s="334">
        <f t="shared" ref="F184:T184" si="38">F179/F177</f>
        <v>-19.402445236882382</v>
      </c>
      <c r="G184" s="334">
        <f t="shared" si="38"/>
        <v>-14.675174013921113</v>
      </c>
      <c r="H184" s="334">
        <f t="shared" si="38"/>
        <v>-17.067843227137317</v>
      </c>
      <c r="I184" s="334">
        <f t="shared" si="38"/>
        <v>18.595328884651995</v>
      </c>
      <c r="J184" s="335">
        <f t="shared" si="38"/>
        <v>-8.08961000297711</v>
      </c>
      <c r="K184" s="334">
        <f t="shared" si="38"/>
        <v>2.33036597428309</v>
      </c>
      <c r="L184" s="334">
        <f t="shared" si="38"/>
        <v>16.733757383007752</v>
      </c>
      <c r="M184" s="334">
        <f t="shared" si="38"/>
        <v>-24.70008833922264</v>
      </c>
      <c r="N184" s="334">
        <f t="shared" si="38"/>
        <v>21.677200902934537</v>
      </c>
      <c r="O184" s="335">
        <f t="shared" si="38"/>
        <v>3.8654332337394175</v>
      </c>
      <c r="P184" s="334">
        <f t="shared" si="38"/>
        <v>-13.175771971496436</v>
      </c>
      <c r="Q184" s="334">
        <f t="shared" si="38"/>
        <v>1.6705426356589148</v>
      </c>
      <c r="R184" s="334">
        <f t="shared" si="38"/>
        <v>-4.153100775193798</v>
      </c>
      <c r="S184" s="334">
        <f t="shared" si="38"/>
        <v>-0.6209850107066381</v>
      </c>
      <c r="T184" s="335">
        <f t="shared" si="38"/>
        <v>-3.707291666666667</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spans="1:36" x14ac:dyDescent="0.25" outlineLevel="1" collapsed="1">
      <c r="A185" s="8"/>
      <c r="B185" s="8"/>
      <c r="C185" s="130" t="s">
        <v>249</v>
      </c>
      <c r="D185" s="8"/>
      <c r="E185" s="8"/>
      <c r="F185" s="312"/>
      <c r="G185" s="311"/>
      <c r="H185" s="311"/>
      <c r="I185" s="311"/>
      <c r="J185" s="160"/>
      <c r="K185" s="311"/>
      <c r="L185" s="311"/>
      <c r="M185" s="311"/>
      <c r="N185" s="311"/>
      <c r="O185" s="299"/>
      <c r="P185" s="311"/>
      <c r="Q185" s="311"/>
      <c r="R185" s="311"/>
      <c r="S185" s="311"/>
      <c r="T185" s="299"/>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spans="1:36" x14ac:dyDescent="0.25" outlineLevel="1" collapsed="1">
      <c r="A186" s="8"/>
      <c r="B186" s="8"/>
      <c r="C186" s="130" t="s">
        <v>250</v>
      </c>
      <c r="D186" s="8"/>
      <c r="E186" s="8"/>
      <c r="F186" s="312"/>
      <c r="G186" s="312"/>
      <c r="H186" s="312"/>
      <c r="I186" s="312"/>
      <c r="J186" s="160"/>
      <c r="K186" s="312"/>
      <c r="L186" s="312"/>
      <c r="M186" s="312"/>
      <c r="N186" s="312"/>
      <c r="O186" s="160"/>
      <c r="P186" s="312"/>
      <c r="Q186" s="312"/>
      <c r="R186" s="312"/>
      <c r="S186" s="312"/>
      <c r="T186" s="160"/>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spans="1:36" x14ac:dyDescent="0.25" outlineLevel="1" collapsed="1">
      <c r="A187" s="8"/>
      <c r="B187" s="8"/>
      <c r="C187" s="130" t="s">
        <v>251</v>
      </c>
      <c r="D187" s="8"/>
      <c r="E187" s="8"/>
      <c r="F187" s="312"/>
      <c r="G187" s="312"/>
      <c r="H187" s="312"/>
      <c r="I187" s="312"/>
      <c r="J187" s="160"/>
      <c r="K187" s="312"/>
      <c r="L187" s="312"/>
      <c r="M187" s="312"/>
      <c r="N187" s="312"/>
      <c r="O187" s="160"/>
      <c r="P187" s="312"/>
      <c r="Q187" s="312"/>
      <c r="R187" s="312"/>
      <c r="S187" s="312"/>
      <c r="T187" s="160"/>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spans="1:36" x14ac:dyDescent="0.25" outlineLevel="1" collapsed="1">
      <c r="A188" s="8"/>
      <c r="B188" s="8"/>
      <c r="C188" s="8"/>
      <c r="D188" s="8"/>
      <c r="E188" s="8"/>
      <c r="F188" s="312"/>
      <c r="G188" s="312"/>
      <c r="H188" s="312"/>
      <c r="I188" s="312"/>
      <c r="J188" s="160"/>
      <c r="K188" s="312"/>
      <c r="L188" s="312"/>
      <c r="M188" s="312"/>
      <c r="N188" s="312"/>
      <c r="O188" s="160"/>
      <c r="P188" s="312"/>
      <c r="Q188" s="312"/>
      <c r="R188" s="312"/>
      <c r="S188" s="312"/>
      <c r="T188" s="160"/>
      <c r="U188" s="313"/>
      <c r="V188" s="313"/>
      <c r="W188" s="313"/>
      <c r="X188" s="313"/>
      <c r="Y188" s="314"/>
      <c r="Z188" s="313"/>
      <c r="AA188" s="313"/>
      <c r="AB188" s="313"/>
      <c r="AC188" s="313"/>
      <c r="AD188" s="314"/>
      <c r="AE188" s="314"/>
      <c r="AF188" s="314"/>
      <c r="AG188" s="314"/>
      <c r="AH188" s="8"/>
      <c r="AI188" s="8"/>
      <c r="AJ188" s="8"/>
    </row>
    <row r="189" ht="12.75" customHeight="1" spans="1:36" x14ac:dyDescent="0.25" outlineLevel="1" collapsed="1">
      <c r="A189" s="257" t="s">
        <v>3</v>
      </c>
      <c r="B189" s="8"/>
      <c r="C189" s="130" t="str">
        <f>C38</f>
        <v>Environmental solutions Revenue</v>
      </c>
      <c r="D189" s="8"/>
      <c r="E189" s="8"/>
      <c r="F189" s="310">
        <f t="shared" ref="F189:T189" si="39">F55</f>
        <v>0</v>
      </c>
      <c r="G189" s="310">
        <f t="shared" si="39"/>
        <v>0</v>
      </c>
      <c r="H189" s="310">
        <f t="shared" si="39"/>
        <v>0</v>
      </c>
      <c r="I189" s="310">
        <f t="shared" si="39"/>
        <v>0</v>
      </c>
      <c r="J189" s="280">
        <f t="shared" si="39"/>
        <v>0</v>
      </c>
      <c r="K189" s="310">
        <f t="shared" si="39"/>
        <v>0</v>
      </c>
      <c r="L189" s="310">
        <f t="shared" si="39"/>
        <v>0</v>
      </c>
      <c r="M189" s="310">
        <f t="shared" si="39"/>
        <v>0</v>
      </c>
      <c r="N189" s="310">
        <f t="shared" si="39"/>
        <v>0</v>
      </c>
      <c r="O189" s="280">
        <f t="shared" si="39"/>
        <v>0</v>
      </c>
      <c r="P189" s="310">
        <f t="shared" si="39"/>
        <v>0</v>
      </c>
      <c r="Q189" s="310">
        <f t="shared" si="39"/>
        <v>0</v>
      </c>
      <c r="R189" s="310">
        <f t="shared" si="39"/>
        <v>0</v>
      </c>
      <c r="S189" s="310">
        <f t="shared" si="39"/>
        <v>0</v>
      </c>
      <c r="T189" s="280">
        <f t="shared" si="39"/>
        <v>0</v>
      </c>
      <c r="U189" s="279">
        <f>U191/U196</f>
        <v>0</v>
      </c>
      <c r="V189" s="279">
        <f>V191/V196</f>
        <v>0</v>
      </c>
      <c r="W189" s="279">
        <f>W191/W196</f>
        <v>0</v>
      </c>
      <c r="X189" s="279">
        <f>X191/X196</f>
        <v>0</v>
      </c>
      <c r="Y189" s="280">
        <f>SUM(U189:X189)</f>
        <v>0</v>
      </c>
      <c r="Z189" s="279">
        <f>Z191/Z196</f>
        <v>0</v>
      </c>
      <c r="AA189" s="279">
        <f>AA191/AA196</f>
        <v>0</v>
      </c>
      <c r="AB189" s="279">
        <f>AB191/AB196</f>
        <v>0</v>
      </c>
      <c r="AC189" s="279">
        <f>AC191/AC196</f>
        <v>0</v>
      </c>
      <c r="AD189" s="280">
        <f>SUM(Z189:AC189)</f>
        <v>0</v>
      </c>
      <c r="AE189" s="280">
        <f>AE191/AE196</f>
        <v>0</v>
      </c>
      <c r="AF189" s="280">
        <f>AF191/AF196</f>
        <v>0</v>
      </c>
      <c r="AG189" s="280">
        <f>AG191/AG196</f>
        <v>0</v>
      </c>
      <c r="AH189" s="8"/>
      <c r="AI189" s="8"/>
      <c r="AJ189" s="8"/>
    </row>
    <row r="190" ht="12.75" customHeight="1" spans="1:36" x14ac:dyDescent="0.25" outlineLevel="1" collapsed="1">
      <c r="A190" s="8"/>
      <c r="B190" s="8"/>
      <c r="C190" s="130" t="s">
        <v>241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U190+V191-V189</f>
        <v>0</v>
      </c>
      <c r="W190" s="322">
        <f>V190+W191-W189</f>
        <v>0</v>
      </c>
      <c r="X190" s="322">
        <f>W190+X191-X189</f>
        <v>0</v>
      </c>
      <c r="Y190" s="321">
        <f>T190+Y191-Y189</f>
        <v>0</v>
      </c>
      <c r="Z190" s="322">
        <f>X190+Z191-Z189</f>
        <v>0</v>
      </c>
      <c r="AA190" s="322">
        <f>Z190+AA191-AA189</f>
        <v>0</v>
      </c>
      <c r="AB190" s="322">
        <f>AA190+AB191-AB189</f>
        <v>0</v>
      </c>
      <c r="AC190" s="322">
        <f>AB190+AC191-AC189</f>
        <v>0</v>
      </c>
      <c r="AD190" s="321">
        <f>Y190+AD191-AD189</f>
        <v>0</v>
      </c>
      <c r="AE190" s="321">
        <f>AD190+AE191-AE189</f>
        <v>0</v>
      </c>
      <c r="AF190" s="321">
        <f>AE190+AF191-AF189</f>
        <v>0</v>
      </c>
      <c r="AG190" s="321">
        <f>AF190+AG191-AG189</f>
        <v>0</v>
      </c>
      <c r="AH190" s="8"/>
      <c r="AI190" s="8"/>
      <c r="AJ190" s="8"/>
    </row>
    <row r="191" ht="12.75" customHeight="1" spans="1:36" x14ac:dyDescent="0.25" outlineLevel="1" collapsed="1">
      <c r="A191" s="8"/>
      <c r="B191" s="8"/>
      <c r="C191" s="130" t="s">
        <v>257</v>
      </c>
      <c r="D191" s="8"/>
      <c r="E191" s="8"/>
      <c r="F191" s="320">
        <f>F190+F189-(0)</f>
        <v>0</v>
      </c>
      <c r="G191" s="320">
        <f>G190+G189-F190</f>
        <v>0</v>
      </c>
      <c r="H191" s="320">
        <f>H190+H189-G190</f>
        <v>0</v>
      </c>
      <c r="I191" s="320">
        <f>I190+I189-H190</f>
        <v>0</v>
      </c>
      <c r="J191" s="321">
        <f>SUM(F191:I191)</f>
        <v>0</v>
      </c>
      <c r="K191" s="320">
        <f>K190+K189-J190</f>
        <v>0</v>
      </c>
      <c r="L191" s="320">
        <f>L190+L189-K190</f>
        <v>0</v>
      </c>
      <c r="M191" s="320">
        <f>M190+M189-L190</f>
        <v>0</v>
      </c>
      <c r="N191" s="320">
        <f>N190+N189-M190</f>
        <v>0</v>
      </c>
      <c r="O191" s="321">
        <f>SUM(K191:N191)</f>
        <v>0</v>
      </c>
      <c r="P191" s="320">
        <f>P190+P189-O190</f>
        <v>0</v>
      </c>
      <c r="Q191" s="320">
        <f>Q190+Q189-P190</f>
        <v>0</v>
      </c>
      <c r="R191" s="320">
        <f>R190+R189-Q190</f>
        <v>0</v>
      </c>
      <c r="S191" s="320">
        <f>S190+S189-R190</f>
        <v>0</v>
      </c>
      <c r="T191" s="321">
        <f>SUM(P191:S191)</f>
        <v>0</v>
      </c>
      <c r="U191" s="322">
        <f>S191*(1+U192)</f>
        <v>0</v>
      </c>
      <c r="V191" s="322">
        <f>U191*(1+V192)</f>
        <v>0</v>
      </c>
      <c r="W191" s="322">
        <f>V191*(1+W192)</f>
        <v>0</v>
      </c>
      <c r="X191" s="322">
        <f>W191*(1+X192)</f>
        <v>0</v>
      </c>
      <c r="Y191" s="321">
        <f>SUM(U191:X191)</f>
        <v>0</v>
      </c>
      <c r="Z191" s="322">
        <f>X191*(1+Z192)</f>
        <v>0</v>
      </c>
      <c r="AA191" s="322">
        <f>Z191*(1+AA192)</f>
        <v>0</v>
      </c>
      <c r="AB191" s="322">
        <f>AA191*(1+AB192)</f>
        <v>0</v>
      </c>
      <c r="AC191" s="322">
        <f>AB191*(1+AC192)</f>
        <v>0</v>
      </c>
      <c r="AD191" s="321">
        <f>SUM(Z191:AC191)</f>
        <v>0</v>
      </c>
      <c r="AE191" s="321">
        <f>AD191*(1+AE192)</f>
        <v>0</v>
      </c>
      <c r="AF191" s="321">
        <f>AE191*(1+AF192)</f>
        <v>0</v>
      </c>
      <c r="AG191" s="321">
        <f>AF191*(1+AG192)</f>
        <v>0</v>
      </c>
      <c r="AH191" s="8"/>
      <c r="AI191" s="8"/>
      <c r="AJ191" s="8"/>
    </row>
    <row r="192" ht="12.75" customHeight="1" spans="1:36" x14ac:dyDescent="0.25" outlineLevel="1" collapsed="1">
      <c r="A192" s="8"/>
      <c r="B192" s="8"/>
      <c r="C192" s="111" t="s">
        <v>258</v>
      </c>
      <c r="D192" s="8"/>
      <c r="E192" s="8"/>
      <c r="F192" s="312"/>
      <c r="G192" s="311" t="str">
        <f>IFERROR(G191/F191-1,"--")</f>
        <v>--</v>
      </c>
      <c r="H192" s="311" t="str">
        <f>IFERROR(H191/G191-1,"--")</f>
        <v>--</v>
      </c>
      <c r="I192" s="311" t="str">
        <f>IFERROR(I191/H191-1,"--")</f>
        <v>--</v>
      </c>
      <c r="J192" s="160"/>
      <c r="K192" s="311" t="str">
        <f>IFERROR(K191/I191-1,"--")</f>
        <v>--</v>
      </c>
      <c r="L192" s="311" t="str">
        <f>IFERROR(L191/K191-1,"--")</f>
        <v>--</v>
      </c>
      <c r="M192" s="311" t="str">
        <f>IFERROR(M191/L191-1,"--")</f>
        <v>--</v>
      </c>
      <c r="N192" s="311" t="str">
        <f>IFERROR(N191/M191-1,"--")</f>
        <v>--</v>
      </c>
      <c r="O192" s="299" t="str">
        <f>IFERROR(O191/J191-1,"--")</f>
        <v>--</v>
      </c>
      <c r="P192" s="311" t="str">
        <f>IFERROR(P191/N191-1,"--")</f>
        <v>--</v>
      </c>
      <c r="Q192" s="311" t="str">
        <f>IFERROR(Q191/P191-1,"--")</f>
        <v>--</v>
      </c>
      <c r="R192" s="311" t="str">
        <f>IFERROR(R191/Q191-1,"--")</f>
        <v>--</v>
      </c>
      <c r="S192" s="311" t="str">
        <f>IFERROR(S191/R191-1,"--")</f>
        <v>--</v>
      </c>
      <c r="T192" s="299" t="str">
        <f>IFERROR(T191/O191-1,"--")</f>
        <v>--</v>
      </c>
      <c r="U192" s="298">
        <f>IF(Case_Scenario="Bull",U193,IF(Case_Scenario="Base",U194,IF(Case_Scenario="bear",U195,"N/A")))</f>
        <v>0.05</v>
      </c>
      <c r="V192" s="298">
        <f>IF(Case_Scenario="Bull",V193,IF(Case_Scenario="Base",V194,IF(Case_Scenario="bear",V195,"N/A")))</f>
        <v>0.05</v>
      </c>
      <c r="W192" s="298">
        <f>IF(Case_Scenario="Bull",W193,IF(Case_Scenario="Base",W194,IF(Case_Scenario="bear",W195,"N/A")))</f>
        <v>0.05</v>
      </c>
      <c r="X192" s="298">
        <f>IF(Case_Scenario="Bull",X193,IF(Case_Scenario="Base",X194,IF(Case_Scenario="bear",X195,"N/A")))</f>
        <v>0.05</v>
      </c>
      <c r="Y192" s="299"/>
      <c r="Z192" s="298">
        <f>IF(Case_Scenario="Bull",Z193,IF(Case_Scenario="Base",Z194,IF(Case_Scenario="bear",Z195,"N/A")))</f>
        <v>0.05</v>
      </c>
      <c r="AA192" s="298">
        <f>IF(Case_Scenario="Bull",AA193,IF(Case_Scenario="Base",AA194,IF(Case_Scenario="bear",AA195,"N/A")))</f>
        <v>0.05</v>
      </c>
      <c r="AB192" s="298">
        <f>IF(Case_Scenario="Bull",AB193,IF(Case_Scenario="Base",AB194,IF(Case_Scenario="bear",AB195,"N/A")))</f>
        <v>0.05</v>
      </c>
      <c r="AC192" s="298">
        <f>IF(Case_Scenario="Bull",AC193,IF(Case_Scenario="Base",AC194,IF(Case_Scenario="bear",AC195,"N/A")))</f>
        <v>0.05</v>
      </c>
      <c r="AD192" s="299"/>
      <c r="AE192" s="299">
        <f>IF(Case_Scenario="Bull",AE193,IF(Case_Scenario="Base",AE194,IF(Case_Scenario="bear",AE195,"N/A")))</f>
        <v>0.05</v>
      </c>
      <c r="AF192" s="299">
        <f>IF(Case_Scenario="Bull",AF193,IF(Case_Scenario="Base",AF194,IF(Case_Scenario="bear",AF195,"N/A")))</f>
        <v>0.05</v>
      </c>
      <c r="AG192" s="299">
        <f>IF(Case_Scenario="Bull",AG193,IF(Case_Scenario="Base",AG194,IF(Case_Scenario="bear",AG195,"N/A")))</f>
        <v>0.05</v>
      </c>
      <c r="AH192" s="8"/>
      <c r="AI192" s="8"/>
      <c r="AJ192" s="8"/>
    </row>
    <row r="193" ht="12.75" customHeight="1" spans="1:36" x14ac:dyDescent="0.25" outlineLevel="1" collapsed="1">
      <c r="A193" s="8"/>
      <c r="B193" s="8"/>
      <c r="C193" s="130" t="s">
        <v>249</v>
      </c>
      <c r="D193" s="8"/>
      <c r="E193" s="8"/>
      <c r="F193" s="312"/>
      <c r="G193" s="312"/>
      <c r="H193" s="312"/>
      <c r="I193" s="312"/>
      <c r="J193" s="160"/>
      <c r="K193" s="312"/>
      <c r="L193" s="312"/>
      <c r="M193" s="312"/>
      <c r="N193" s="312"/>
      <c r="O193" s="160"/>
      <c r="P193" s="312"/>
      <c r="Q193" s="312"/>
      <c r="R193" s="312"/>
      <c r="S193" s="312"/>
      <c r="T193" s="160"/>
      <c r="U193" s="313">
        <v>0.1</v>
      </c>
      <c r="V193" s="313">
        <v>0.1</v>
      </c>
      <c r="W193" s="313">
        <v>0.1</v>
      </c>
      <c r="X193" s="313">
        <v>0.1</v>
      </c>
      <c r="Y193" s="314"/>
      <c r="Z193" s="313">
        <v>0.1</v>
      </c>
      <c r="AA193" s="313">
        <v>0.1</v>
      </c>
      <c r="AB193" s="313">
        <v>0.1</v>
      </c>
      <c r="AC193" s="313">
        <v>0.1</v>
      </c>
      <c r="AD193" s="314"/>
      <c r="AE193" s="314">
        <v>0.1</v>
      </c>
      <c r="AF193" s="314">
        <v>0.1</v>
      </c>
      <c r="AG193" s="314">
        <v>0.1</v>
      </c>
      <c r="AH193" s="8"/>
      <c r="AI193" s="8"/>
      <c r="AJ193" s="8"/>
    </row>
    <row r="194" ht="12.75" customHeight="1" spans="1:36" x14ac:dyDescent="0.25" outlineLevel="1" collapsed="1">
      <c r="A194" s="8"/>
      <c r="B194" s="8"/>
      <c r="C194" s="130" t="s">
        <v>250</v>
      </c>
      <c r="D194" s="8"/>
      <c r="E194" s="8"/>
      <c r="F194" s="312"/>
      <c r="G194" s="312"/>
      <c r="H194" s="312"/>
      <c r="I194" s="312"/>
      <c r="J194" s="160"/>
      <c r="K194" s="312"/>
      <c r="L194" s="312"/>
      <c r="M194" s="312"/>
      <c r="N194" s="312"/>
      <c r="O194" s="160"/>
      <c r="P194" s="312"/>
      <c r="Q194" s="312"/>
      <c r="R194" s="312"/>
      <c r="S194" s="312"/>
      <c r="T194" s="160"/>
      <c r="U194" s="313">
        <v>0.05</v>
      </c>
      <c r="V194" s="313">
        <v>0.05</v>
      </c>
      <c r="W194" s="313">
        <v>0.05</v>
      </c>
      <c r="X194" s="313">
        <v>0.05</v>
      </c>
      <c r="Y194" s="314"/>
      <c r="Z194" s="313">
        <v>0.05</v>
      </c>
      <c r="AA194" s="313">
        <v>0.05</v>
      </c>
      <c r="AB194" s="313">
        <v>0.05</v>
      </c>
      <c r="AC194" s="313">
        <v>0.05</v>
      </c>
      <c r="AD194" s="314"/>
      <c r="AE194" s="314">
        <v>0.05</v>
      </c>
      <c r="AF194" s="314">
        <v>0.05</v>
      </c>
      <c r="AG194" s="314">
        <v>0.05</v>
      </c>
      <c r="AH194" s="8"/>
      <c r="AI194" s="8"/>
      <c r="AJ194" s="8"/>
    </row>
    <row r="195" ht="12.75" customHeight="1" spans="1:36" x14ac:dyDescent="0.25" outlineLevel="1" collapsed="1">
      <c r="A195" s="8"/>
      <c r="B195" s="8"/>
      <c r="C195" s="130" t="s">
        <v>251</v>
      </c>
      <c r="D195" s="8"/>
      <c r="E195" s="8"/>
      <c r="F195" s="312"/>
      <c r="G195" s="312"/>
      <c r="H195" s="312"/>
      <c r="I195" s="312"/>
      <c r="J195" s="160"/>
      <c r="K195" s="312"/>
      <c r="L195" s="312"/>
      <c r="M195" s="312"/>
      <c r="N195" s="312"/>
      <c r="O195" s="160"/>
      <c r="P195" s="312"/>
      <c r="Q195" s="312"/>
      <c r="R195" s="312"/>
      <c r="S195" s="312"/>
      <c r="T195" s="160"/>
      <c r="U195" s="313">
        <v>0</v>
      </c>
      <c r="V195" s="313">
        <v>0</v>
      </c>
      <c r="W195" s="313">
        <v>0</v>
      </c>
      <c r="X195" s="313">
        <v>0</v>
      </c>
      <c r="Y195" s="314"/>
      <c r="Z195" s="313">
        <v>0</v>
      </c>
      <c r="AA195" s="313">
        <v>0</v>
      </c>
      <c r="AB195" s="313">
        <v>0</v>
      </c>
      <c r="AC195" s="313">
        <v>0</v>
      </c>
      <c r="AD195" s="314"/>
      <c r="AE195" s="314">
        <v>0</v>
      </c>
      <c r="AF195" s="314">
        <v>0</v>
      </c>
      <c r="AG195" s="314">
        <v>0</v>
      </c>
      <c r="AH195" s="8"/>
      <c r="AI195" s="8"/>
      <c r="AJ195" s="8"/>
    </row>
    <row r="196" ht="12.75" customHeight="1" spans="1:36" x14ac:dyDescent="0.25" outlineLevel="1" collapsed="1">
      <c r="A196" s="8"/>
      <c r="B196" s="8"/>
      <c r="C196" s="130" t="s">
        <v>259</v>
      </c>
      <c r="D196" s="8"/>
      <c r="E196" s="8"/>
      <c r="F196" s="334" t="e">
        <f t="shared" ref="F196:T196" si="40">F191/F189</f>
        <v>#DIV/0!</v>
      </c>
      <c r="G196" s="334" t="e">
        <f t="shared" si="40"/>
        <v>#DIV/0!</v>
      </c>
      <c r="H196" s="334" t="e">
        <f t="shared" si="40"/>
        <v>#DIV/0!</v>
      </c>
      <c r="I196" s="334" t="e">
        <f t="shared" si="40"/>
        <v>#DIV/0!</v>
      </c>
      <c r="J196" s="335" t="e">
        <f t="shared" si="40"/>
        <v>#DIV/0!</v>
      </c>
      <c r="K196" s="334" t="e">
        <f t="shared" si="40"/>
        <v>#DIV/0!</v>
      </c>
      <c r="L196" s="334" t="e">
        <f t="shared" si="40"/>
        <v>#DIV/0!</v>
      </c>
      <c r="M196" s="334" t="e">
        <f t="shared" si="40"/>
        <v>#DIV/0!</v>
      </c>
      <c r="N196" s="334" t="e">
        <f t="shared" si="40"/>
        <v>#DIV/0!</v>
      </c>
      <c r="O196" s="335" t="e">
        <f t="shared" si="40"/>
        <v>#DIV/0!</v>
      </c>
      <c r="P196" s="334" t="e">
        <f t="shared" si="40"/>
        <v>#DIV/0!</v>
      </c>
      <c r="Q196" s="334" t="e">
        <f t="shared" si="40"/>
        <v>#DIV/0!</v>
      </c>
      <c r="R196" s="334" t="e">
        <f t="shared" si="40"/>
        <v>#DIV/0!</v>
      </c>
      <c r="S196" s="334" t="e">
        <f t="shared" si="40"/>
        <v>#DIV/0!</v>
      </c>
      <c r="T196" s="335" t="e">
        <f t="shared" si="4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spans="1:36" x14ac:dyDescent="0.25" outlineLevel="1" collapsed="1">
      <c r="A197" s="8"/>
      <c r="B197" s="8"/>
      <c r="C197" s="130" t="s">
        <v>249</v>
      </c>
      <c r="D197" s="8"/>
      <c r="E197" s="8"/>
      <c r="F197" s="312"/>
      <c r="G197" s="311"/>
      <c r="H197" s="311"/>
      <c r="I197" s="311"/>
      <c r="J197" s="160"/>
      <c r="K197" s="311"/>
      <c r="L197" s="311"/>
      <c r="M197" s="311"/>
      <c r="N197" s="311"/>
      <c r="O197" s="299"/>
      <c r="P197" s="311"/>
      <c r="Q197" s="311"/>
      <c r="R197" s="311"/>
      <c r="S197" s="311"/>
      <c r="T197" s="299"/>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spans="1:36" x14ac:dyDescent="0.25" outlineLevel="1" collapsed="1">
      <c r="A198" s="8"/>
      <c r="B198" s="8"/>
      <c r="C198" s="130" t="s">
        <v>250</v>
      </c>
      <c r="D198" s="8"/>
      <c r="E198" s="8"/>
      <c r="F198" s="312"/>
      <c r="G198" s="312"/>
      <c r="H198" s="312"/>
      <c r="I198" s="312"/>
      <c r="J198" s="160"/>
      <c r="K198" s="312"/>
      <c r="L198" s="312"/>
      <c r="M198" s="312"/>
      <c r="N198" s="312"/>
      <c r="O198" s="160"/>
      <c r="P198" s="312"/>
      <c r="Q198" s="312"/>
      <c r="R198" s="312"/>
      <c r="S198" s="312"/>
      <c r="T198" s="160"/>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spans="1:36" x14ac:dyDescent="0.25" outlineLevel="1" collapsed="1">
      <c r="A199" s="8"/>
      <c r="B199" s="8"/>
      <c r="C199" s="130" t="s">
        <v>251</v>
      </c>
      <c r="D199" s="8"/>
      <c r="E199" s="8"/>
      <c r="F199" s="312"/>
      <c r="G199" s="312"/>
      <c r="H199" s="312"/>
      <c r="I199" s="312"/>
      <c r="J199" s="160"/>
      <c r="K199" s="312"/>
      <c r="L199" s="312"/>
      <c r="M199" s="312"/>
      <c r="N199" s="312"/>
      <c r="O199" s="160"/>
      <c r="P199" s="312"/>
      <c r="Q199" s="312"/>
      <c r="R199" s="312"/>
      <c r="S199" s="312"/>
      <c r="T199" s="160"/>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spans="1:36" x14ac:dyDescent="0.25" outlineLevel="1" collapsed="1">
      <c r="A200" s="8"/>
      <c r="B200" s="8"/>
      <c r="C200" s="8"/>
      <c r="D200" s="8"/>
      <c r="E200" s="8"/>
      <c r="F200" s="312"/>
      <c r="G200" s="312"/>
      <c r="H200" s="312"/>
      <c r="I200" s="312"/>
      <c r="J200" s="160"/>
      <c r="K200" s="312"/>
      <c r="L200" s="312"/>
      <c r="M200" s="312"/>
      <c r="N200" s="312"/>
      <c r="O200" s="160"/>
      <c r="P200" s="312"/>
      <c r="Q200" s="312"/>
      <c r="R200" s="312"/>
      <c r="S200" s="312"/>
      <c r="T200" s="160"/>
      <c r="U200" s="313"/>
      <c r="V200" s="313"/>
      <c r="W200" s="313"/>
      <c r="X200" s="313"/>
      <c r="Y200" s="314"/>
      <c r="Z200" s="313"/>
      <c r="AA200" s="313"/>
      <c r="AB200" s="313"/>
      <c r="AC200" s="313"/>
      <c r="AD200" s="314"/>
      <c r="AE200" s="314"/>
      <c r="AF200" s="314"/>
      <c r="AG200" s="314"/>
      <c r="AH200" s="8"/>
      <c r="AI200" s="8"/>
      <c r="AJ200" s="8"/>
    </row>
    <row r="201" ht="12.75" customHeight="1" spans="1:36" x14ac:dyDescent="0.25" outlineLevel="1" collapsed="1">
      <c r="A201" s="257" t="s">
        <v>3</v>
      </c>
      <c r="B201" s="8"/>
      <c r="C201" s="130" t="str">
        <f>C41</f>
        <v>Transfer Revenue</v>
      </c>
      <c r="D201" s="8"/>
      <c r="E201" s="8"/>
      <c r="F201" s="310">
        <f t="shared" ref="F201:T201" si="41">F67</f>
        <v>0</v>
      </c>
      <c r="G201" s="310">
        <f t="shared" si="41"/>
        <v>0</v>
      </c>
      <c r="H201" s="310">
        <f t="shared" si="41"/>
        <v>0</v>
      </c>
      <c r="I201" s="310">
        <f t="shared" si="41"/>
        <v>0</v>
      </c>
      <c r="J201" s="280">
        <f t="shared" si="41"/>
        <v>0</v>
      </c>
      <c r="K201" s="310">
        <f t="shared" si="41"/>
        <v>0</v>
      </c>
      <c r="L201" s="310">
        <f t="shared" si="41"/>
        <v>0</v>
      </c>
      <c r="M201" s="310">
        <f t="shared" si="41"/>
        <v>0</v>
      </c>
      <c r="N201" s="310">
        <f t="shared" si="41"/>
        <v>0</v>
      </c>
      <c r="O201" s="280">
        <f t="shared" si="41"/>
        <v>0</v>
      </c>
      <c r="P201" s="310">
        <f t="shared" si="41"/>
        <v>0</v>
      </c>
      <c r="Q201" s="310">
        <f t="shared" si="41"/>
        <v>0</v>
      </c>
      <c r="R201" s="310">
        <f t="shared" si="41"/>
        <v>0</v>
      </c>
      <c r="S201" s="310">
        <f t="shared" si="41"/>
        <v>0</v>
      </c>
      <c r="T201" s="280">
        <f t="shared" si="41"/>
        <v>0</v>
      </c>
      <c r="U201" s="279">
        <f>U203/U208</f>
        <v>0</v>
      </c>
      <c r="V201" s="279">
        <f>V203/V208</f>
        <v>0</v>
      </c>
      <c r="W201" s="279">
        <f>W203/W208</f>
        <v>0</v>
      </c>
      <c r="X201" s="279">
        <f>X203/X208</f>
        <v>0</v>
      </c>
      <c r="Y201" s="280">
        <f>SUM(U201:X201)</f>
        <v>0</v>
      </c>
      <c r="Z201" s="279">
        <f>Z203/Z208</f>
        <v>0</v>
      </c>
      <c r="AA201" s="279">
        <f>AA203/AA208</f>
        <v>0</v>
      </c>
      <c r="AB201" s="279">
        <f>AB203/AB208</f>
        <v>0</v>
      </c>
      <c r="AC201" s="279">
        <f>AC203/AC208</f>
        <v>0</v>
      </c>
      <c r="AD201" s="280">
        <f>SUM(Z201:AC201)</f>
        <v>0</v>
      </c>
      <c r="AE201" s="280">
        <f>AE203/AE208</f>
        <v>0</v>
      </c>
      <c r="AF201" s="280">
        <f>AF203/AF208</f>
        <v>0</v>
      </c>
      <c r="AG201" s="280">
        <f>AG203/AG208</f>
        <v>0</v>
      </c>
      <c r="AH201" s="8"/>
      <c r="AI201" s="8"/>
      <c r="AJ201" s="8"/>
    </row>
    <row r="202" ht="12.75" customHeight="1" spans="1:36" x14ac:dyDescent="0.25" outlineLevel="1" collapsed="1">
      <c r="A202" s="8"/>
      <c r="B202" s="8"/>
      <c r="C202" s="130" t="s">
        <v>241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U202+V203-V201</f>
        <v>0</v>
      </c>
      <c r="W202" s="322">
        <f>V202+W203-W201</f>
        <v>0</v>
      </c>
      <c r="X202" s="322">
        <f>W202+X203-X201</f>
        <v>0</v>
      </c>
      <c r="Y202" s="321">
        <f>T202+Y203-Y201</f>
        <v>0</v>
      </c>
      <c r="Z202" s="322">
        <f>X202+Z203-Z201</f>
        <v>0</v>
      </c>
      <c r="AA202" s="322">
        <f>Z202+AA203-AA201</f>
        <v>0</v>
      </c>
      <c r="AB202" s="322">
        <f>AA202+AB203-AB201</f>
        <v>0</v>
      </c>
      <c r="AC202" s="322">
        <f>AB202+AC203-AC201</f>
        <v>0</v>
      </c>
      <c r="AD202" s="321">
        <f>Y202+AD203-AD201</f>
        <v>0</v>
      </c>
      <c r="AE202" s="321">
        <f>AD202+AE203-AE201</f>
        <v>0</v>
      </c>
      <c r="AF202" s="321">
        <f>AE202+AF203-AF201</f>
        <v>0</v>
      </c>
      <c r="AG202" s="321">
        <f>AF202+AG203-AG201</f>
        <v>0</v>
      </c>
      <c r="AH202" s="8"/>
      <c r="AI202" s="8"/>
      <c r="AJ202" s="8"/>
    </row>
    <row r="203" ht="12.75" customHeight="1" spans="1:36" x14ac:dyDescent="0.25" outlineLevel="1" collapsed="1">
      <c r="A203" s="8"/>
      <c r="B203" s="8"/>
      <c r="C203" s="130" t="s">
        <v>257</v>
      </c>
      <c r="D203" s="8"/>
      <c r="E203" s="8"/>
      <c r="F203" s="320">
        <f>F202+F201-(0)</f>
        <v>0</v>
      </c>
      <c r="G203" s="320">
        <f>G202+G201-F202</f>
        <v>0</v>
      </c>
      <c r="H203" s="320">
        <f>H202+H201-G202</f>
        <v>0</v>
      </c>
      <c r="I203" s="320">
        <f>I202+I201-H202</f>
        <v>0</v>
      </c>
      <c r="J203" s="321">
        <f>SUM(F203:I203)</f>
        <v>0</v>
      </c>
      <c r="K203" s="320">
        <f>K202+K201-J202</f>
        <v>0</v>
      </c>
      <c r="L203" s="320">
        <f>L202+L201-K202</f>
        <v>0</v>
      </c>
      <c r="M203" s="320">
        <f>M202+M201-L202</f>
        <v>0</v>
      </c>
      <c r="N203" s="320">
        <f>N202+N201-M202</f>
        <v>0</v>
      </c>
      <c r="O203" s="321">
        <f>SUM(K203:N203)</f>
        <v>0</v>
      </c>
      <c r="P203" s="320">
        <f>P202+P201-O202</f>
        <v>0</v>
      </c>
      <c r="Q203" s="320">
        <f>Q202+Q201-P202</f>
        <v>0</v>
      </c>
      <c r="R203" s="320">
        <f>R202+R201-Q202</f>
        <v>0</v>
      </c>
      <c r="S203" s="320">
        <f>S202+S201-R202</f>
        <v>0</v>
      </c>
      <c r="T203" s="321">
        <f>SUM(P203:S203)</f>
        <v>0</v>
      </c>
      <c r="U203" s="322">
        <f>S203*(1+U204)</f>
        <v>0</v>
      </c>
      <c r="V203" s="322">
        <f>U203*(1+V204)</f>
        <v>0</v>
      </c>
      <c r="W203" s="322">
        <f>V203*(1+W204)</f>
        <v>0</v>
      </c>
      <c r="X203" s="322">
        <f>W203*(1+X204)</f>
        <v>0</v>
      </c>
      <c r="Y203" s="321">
        <f>SUM(U203:X203)</f>
        <v>0</v>
      </c>
      <c r="Z203" s="322">
        <f>X203*(1+Z204)</f>
        <v>0</v>
      </c>
      <c r="AA203" s="322">
        <f>Z203*(1+AA204)</f>
        <v>0</v>
      </c>
      <c r="AB203" s="322">
        <f>AA203*(1+AB204)</f>
        <v>0</v>
      </c>
      <c r="AC203" s="322">
        <f>AB203*(1+AC204)</f>
        <v>0</v>
      </c>
      <c r="AD203" s="321">
        <f>SUM(Z203:AC203)</f>
        <v>0</v>
      </c>
      <c r="AE203" s="321">
        <f>AD203*(1+AE204)</f>
        <v>0</v>
      </c>
      <c r="AF203" s="321">
        <f>AE203*(1+AF204)</f>
        <v>0</v>
      </c>
      <c r="AG203" s="321">
        <f>AF203*(1+AG204)</f>
        <v>0</v>
      </c>
      <c r="AH203" s="8"/>
      <c r="AI203" s="8"/>
      <c r="AJ203" s="8"/>
    </row>
    <row r="204" ht="12.75" customHeight="1" spans="1:36" x14ac:dyDescent="0.25" outlineLevel="1" collapsed="1">
      <c r="A204" s="8"/>
      <c r="B204" s="8"/>
      <c r="C204" s="111" t="s">
        <v>258</v>
      </c>
      <c r="D204" s="8"/>
      <c r="E204" s="8"/>
      <c r="F204" s="312"/>
      <c r="G204" s="311" t="str">
        <f>IFERROR(G203/F203-1,"--")</f>
        <v>--</v>
      </c>
      <c r="H204" s="311" t="str">
        <f>IFERROR(H203/G203-1,"--")</f>
        <v>--</v>
      </c>
      <c r="I204" s="311" t="str">
        <f>IFERROR(I203/H203-1,"--")</f>
        <v>--</v>
      </c>
      <c r="J204" s="160"/>
      <c r="K204" s="311" t="str">
        <f>IFERROR(K203/I203-1,"--")</f>
        <v>--</v>
      </c>
      <c r="L204" s="311" t="str">
        <f>IFERROR(L203/K203-1,"--")</f>
        <v>--</v>
      </c>
      <c r="M204" s="311" t="str">
        <f>IFERROR(M203/L203-1,"--")</f>
        <v>--</v>
      </c>
      <c r="N204" s="311" t="str">
        <f>IFERROR(N203/M203-1,"--")</f>
        <v>--</v>
      </c>
      <c r="O204" s="299" t="str">
        <f>IFERROR(O203/J203-1,"--")</f>
        <v>--</v>
      </c>
      <c r="P204" s="311" t="str">
        <f>IFERROR(P203/N203-1,"--")</f>
        <v>--</v>
      </c>
      <c r="Q204" s="311" t="str">
        <f>IFERROR(Q203/P203-1,"--")</f>
        <v>--</v>
      </c>
      <c r="R204" s="311" t="str">
        <f>IFERROR(R203/Q203-1,"--")</f>
        <v>--</v>
      </c>
      <c r="S204" s="311" t="str">
        <f>IFERROR(S203/R203-1,"--")</f>
        <v>--</v>
      </c>
      <c r="T204" s="299" t="str">
        <f>IFERROR(T203/O203-1,"--")</f>
        <v>--</v>
      </c>
      <c r="U204" s="298">
        <f>IF(Case_Scenario="Bull",U205,IF(Case_Scenario="Base",U206,IF(Case_Scenario="bear",U207,"N/A")))</f>
        <v>0.05</v>
      </c>
      <c r="V204" s="298">
        <f>IF(Case_Scenario="Bull",V205,IF(Case_Scenario="Base",V206,IF(Case_Scenario="bear",V207,"N/A")))</f>
        <v>0.05</v>
      </c>
      <c r="W204" s="298">
        <f>IF(Case_Scenario="Bull",W205,IF(Case_Scenario="Base",W206,IF(Case_Scenario="bear",W207,"N/A")))</f>
        <v>0.05</v>
      </c>
      <c r="X204" s="298">
        <f>IF(Case_Scenario="Bull",X205,IF(Case_Scenario="Base",X206,IF(Case_Scenario="bear",X207,"N/A")))</f>
        <v>0.05</v>
      </c>
      <c r="Y204" s="299"/>
      <c r="Z204" s="298">
        <f>IF(Case_Scenario="Bull",Z205,IF(Case_Scenario="Base",Z206,IF(Case_Scenario="bear",Z207,"N/A")))</f>
        <v>0.05</v>
      </c>
      <c r="AA204" s="298">
        <f>IF(Case_Scenario="Bull",AA205,IF(Case_Scenario="Base",AA206,IF(Case_Scenario="bear",AA207,"N/A")))</f>
        <v>0.05</v>
      </c>
      <c r="AB204" s="298">
        <f>IF(Case_Scenario="Bull",AB205,IF(Case_Scenario="Base",AB206,IF(Case_Scenario="bear",AB207,"N/A")))</f>
        <v>0.05</v>
      </c>
      <c r="AC204" s="298">
        <f>IF(Case_Scenario="Bull",AC205,IF(Case_Scenario="Base",AC206,IF(Case_Scenario="bear",AC207,"N/A")))</f>
        <v>0.05</v>
      </c>
      <c r="AD204" s="299"/>
      <c r="AE204" s="299">
        <f>IF(Case_Scenario="Bull",AE205,IF(Case_Scenario="Base",AE206,IF(Case_Scenario="bear",AE207,"N/A")))</f>
        <v>0.05</v>
      </c>
      <c r="AF204" s="299">
        <f>IF(Case_Scenario="Bull",AF205,IF(Case_Scenario="Base",AF206,IF(Case_Scenario="bear",AF207,"N/A")))</f>
        <v>0.05</v>
      </c>
      <c r="AG204" s="299">
        <f>IF(Case_Scenario="Bull",AG205,IF(Case_Scenario="Base",AG206,IF(Case_Scenario="bear",AG207,"N/A")))</f>
        <v>0.05</v>
      </c>
      <c r="AH204" s="8"/>
      <c r="AI204" s="8"/>
      <c r="AJ204" s="8"/>
    </row>
    <row r="205" ht="12.75" customHeight="1" spans="1:36" x14ac:dyDescent="0.25" outlineLevel="1" collapsed="1">
      <c r="A205" s="8"/>
      <c r="B205" s="8"/>
      <c r="C205" s="130" t="s">
        <v>249</v>
      </c>
      <c r="D205" s="8"/>
      <c r="E205" s="8"/>
      <c r="F205" s="312"/>
      <c r="G205" s="312"/>
      <c r="H205" s="312"/>
      <c r="I205" s="312"/>
      <c r="J205" s="160"/>
      <c r="K205" s="312"/>
      <c r="L205" s="312"/>
      <c r="M205" s="312"/>
      <c r="N205" s="312"/>
      <c r="O205" s="160"/>
      <c r="P205" s="312"/>
      <c r="Q205" s="312"/>
      <c r="R205" s="312"/>
      <c r="S205" s="312"/>
      <c r="T205" s="160"/>
      <c r="U205" s="313">
        <v>0.1</v>
      </c>
      <c r="V205" s="313">
        <v>0.1</v>
      </c>
      <c r="W205" s="313">
        <v>0.1</v>
      </c>
      <c r="X205" s="313">
        <v>0.1</v>
      </c>
      <c r="Y205" s="314"/>
      <c r="Z205" s="313">
        <v>0.1</v>
      </c>
      <c r="AA205" s="313">
        <v>0.1</v>
      </c>
      <c r="AB205" s="313">
        <v>0.1</v>
      </c>
      <c r="AC205" s="313">
        <v>0.1</v>
      </c>
      <c r="AD205" s="314"/>
      <c r="AE205" s="314">
        <v>0.1</v>
      </c>
      <c r="AF205" s="314">
        <v>0.1</v>
      </c>
      <c r="AG205" s="314">
        <v>0.1</v>
      </c>
      <c r="AH205" s="8"/>
      <c r="AI205" s="8"/>
      <c r="AJ205" s="8"/>
    </row>
    <row r="206" ht="12.75" customHeight="1" spans="1:36" x14ac:dyDescent="0.25" outlineLevel="1" collapsed="1">
      <c r="A206" s="8"/>
      <c r="B206" s="8"/>
      <c r="C206" s="130" t="s">
        <v>250</v>
      </c>
      <c r="D206" s="8"/>
      <c r="E206" s="8"/>
      <c r="F206" s="312"/>
      <c r="G206" s="312"/>
      <c r="H206" s="312"/>
      <c r="I206" s="312"/>
      <c r="J206" s="160"/>
      <c r="K206" s="312"/>
      <c r="L206" s="312"/>
      <c r="M206" s="312"/>
      <c r="N206" s="312"/>
      <c r="O206" s="160"/>
      <c r="P206" s="312"/>
      <c r="Q206" s="312"/>
      <c r="R206" s="312"/>
      <c r="S206" s="312"/>
      <c r="T206" s="160"/>
      <c r="U206" s="313">
        <v>0.05</v>
      </c>
      <c r="V206" s="313">
        <v>0.05</v>
      </c>
      <c r="W206" s="313">
        <v>0.05</v>
      </c>
      <c r="X206" s="313">
        <v>0.05</v>
      </c>
      <c r="Y206" s="314"/>
      <c r="Z206" s="313">
        <v>0.05</v>
      </c>
      <c r="AA206" s="313">
        <v>0.05</v>
      </c>
      <c r="AB206" s="313">
        <v>0.05</v>
      </c>
      <c r="AC206" s="313">
        <v>0.05</v>
      </c>
      <c r="AD206" s="314"/>
      <c r="AE206" s="314">
        <v>0.05</v>
      </c>
      <c r="AF206" s="314">
        <v>0.05</v>
      </c>
      <c r="AG206" s="314">
        <v>0.05</v>
      </c>
      <c r="AH206" s="8"/>
      <c r="AI206" s="8"/>
      <c r="AJ206" s="8"/>
    </row>
    <row r="207" ht="12.75" customHeight="1" spans="1:36" x14ac:dyDescent="0.25" outlineLevel="1" collapsed="1">
      <c r="A207" s="8"/>
      <c r="B207" s="8"/>
      <c r="C207" s="130" t="s">
        <v>251</v>
      </c>
      <c r="D207" s="8"/>
      <c r="E207" s="8"/>
      <c r="F207" s="312"/>
      <c r="G207" s="312"/>
      <c r="H207" s="312"/>
      <c r="I207" s="312"/>
      <c r="J207" s="160"/>
      <c r="K207" s="312"/>
      <c r="L207" s="312"/>
      <c r="M207" s="312"/>
      <c r="N207" s="312"/>
      <c r="O207" s="160"/>
      <c r="P207" s="312"/>
      <c r="Q207" s="312"/>
      <c r="R207" s="312"/>
      <c r="S207" s="312"/>
      <c r="T207" s="160"/>
      <c r="U207" s="313">
        <v>0</v>
      </c>
      <c r="V207" s="313">
        <v>0</v>
      </c>
      <c r="W207" s="313">
        <v>0</v>
      </c>
      <c r="X207" s="313">
        <v>0</v>
      </c>
      <c r="Y207" s="314"/>
      <c r="Z207" s="313">
        <v>0</v>
      </c>
      <c r="AA207" s="313">
        <v>0</v>
      </c>
      <c r="AB207" s="313">
        <v>0</v>
      </c>
      <c r="AC207" s="313">
        <v>0</v>
      </c>
      <c r="AD207" s="314"/>
      <c r="AE207" s="314">
        <v>0</v>
      </c>
      <c r="AF207" s="314">
        <v>0</v>
      </c>
      <c r="AG207" s="314">
        <v>0</v>
      </c>
      <c r="AH207" s="8"/>
      <c r="AI207" s="8"/>
      <c r="AJ207" s="8"/>
    </row>
    <row r="208" ht="12.75" customHeight="1" spans="1:36" x14ac:dyDescent="0.25" outlineLevel="1" collapsed="1">
      <c r="A208" s="8"/>
      <c r="B208" s="8"/>
      <c r="C208" s="130" t="s">
        <v>259</v>
      </c>
      <c r="D208" s="8"/>
      <c r="E208" s="8"/>
      <c r="F208" s="334" t="e">
        <f t="shared" ref="F208:T208" si="42">F203/F201</f>
        <v>#DIV/0!</v>
      </c>
      <c r="G208" s="334" t="e">
        <f t="shared" si="42"/>
        <v>#DIV/0!</v>
      </c>
      <c r="H208" s="334" t="e">
        <f t="shared" si="42"/>
        <v>#DIV/0!</v>
      </c>
      <c r="I208" s="334" t="e">
        <f t="shared" si="42"/>
        <v>#DIV/0!</v>
      </c>
      <c r="J208" s="335" t="e">
        <f t="shared" si="42"/>
        <v>#DIV/0!</v>
      </c>
      <c r="K208" s="334" t="e">
        <f t="shared" si="42"/>
        <v>#DIV/0!</v>
      </c>
      <c r="L208" s="334" t="e">
        <f t="shared" si="42"/>
        <v>#DIV/0!</v>
      </c>
      <c r="M208" s="334" t="e">
        <f t="shared" si="42"/>
        <v>#DIV/0!</v>
      </c>
      <c r="N208" s="334" t="e">
        <f t="shared" si="42"/>
        <v>#DIV/0!</v>
      </c>
      <c r="O208" s="335" t="e">
        <f t="shared" si="42"/>
        <v>#DIV/0!</v>
      </c>
      <c r="P208" s="334" t="e">
        <f t="shared" si="42"/>
        <v>#DIV/0!</v>
      </c>
      <c r="Q208" s="334" t="e">
        <f t="shared" si="42"/>
        <v>#DIV/0!</v>
      </c>
      <c r="R208" s="334" t="e">
        <f t="shared" si="42"/>
        <v>#DIV/0!</v>
      </c>
      <c r="S208" s="334" t="e">
        <f t="shared" si="42"/>
        <v>#DIV/0!</v>
      </c>
      <c r="T208" s="335" t="e">
        <f t="shared" si="42"/>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spans="1:36" x14ac:dyDescent="0.25" outlineLevel="1" collapsed="1">
      <c r="A209" s="8"/>
      <c r="B209" s="8"/>
      <c r="C209" s="130" t="s">
        <v>249</v>
      </c>
      <c r="D209" s="8"/>
      <c r="E209" s="8"/>
      <c r="F209" s="312"/>
      <c r="G209" s="311"/>
      <c r="H209" s="311"/>
      <c r="I209" s="311"/>
      <c r="J209" s="160"/>
      <c r="K209" s="311"/>
      <c r="L209" s="311"/>
      <c r="M209" s="311"/>
      <c r="N209" s="311"/>
      <c r="O209" s="299"/>
      <c r="P209" s="311"/>
      <c r="Q209" s="311"/>
      <c r="R209" s="311"/>
      <c r="S209" s="311"/>
      <c r="T209" s="299"/>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spans="1:36" x14ac:dyDescent="0.25" outlineLevel="1" collapsed="1">
      <c r="A210" s="8"/>
      <c r="B210" s="8"/>
      <c r="C210" s="130" t="s">
        <v>250</v>
      </c>
      <c r="D210" s="8"/>
      <c r="E210" s="8"/>
      <c r="F210" s="312"/>
      <c r="G210" s="312"/>
      <c r="H210" s="312"/>
      <c r="I210" s="312"/>
      <c r="J210" s="160"/>
      <c r="K210" s="312"/>
      <c r="L210" s="312"/>
      <c r="M210" s="312"/>
      <c r="N210" s="312"/>
      <c r="O210" s="160"/>
      <c r="P210" s="312"/>
      <c r="Q210" s="312"/>
      <c r="R210" s="312"/>
      <c r="S210" s="312"/>
      <c r="T210" s="160"/>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spans="1:36" x14ac:dyDescent="0.25" outlineLevel="1" collapsed="1">
      <c r="A211" s="8"/>
      <c r="B211" s="8"/>
      <c r="C211" s="130" t="s">
        <v>251</v>
      </c>
      <c r="D211" s="8"/>
      <c r="E211" s="8"/>
      <c r="F211" s="312"/>
      <c r="G211" s="312"/>
      <c r="H211" s="312"/>
      <c r="I211" s="312"/>
      <c r="J211" s="160"/>
      <c r="K211" s="312"/>
      <c r="L211" s="312"/>
      <c r="M211" s="312"/>
      <c r="N211" s="312"/>
      <c r="O211" s="160"/>
      <c r="P211" s="312"/>
      <c r="Q211" s="312"/>
      <c r="R211" s="312"/>
      <c r="S211" s="312"/>
      <c r="T211" s="160"/>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spans="1:36" x14ac:dyDescent="0.25" outlineLevel="1" collapsed="1">
      <c r="A212" s="8"/>
      <c r="B212" s="8"/>
      <c r="C212" s="8"/>
      <c r="D212" s="8"/>
      <c r="E212" s="8"/>
      <c r="F212" s="312"/>
      <c r="G212" s="312"/>
      <c r="H212" s="312"/>
      <c r="I212" s="312"/>
      <c r="J212" s="160"/>
      <c r="K212" s="312"/>
      <c r="L212" s="312"/>
      <c r="M212" s="312"/>
      <c r="N212" s="312"/>
      <c r="O212" s="160"/>
      <c r="P212" s="312"/>
      <c r="Q212" s="312"/>
      <c r="R212" s="312"/>
      <c r="S212" s="312"/>
      <c r="T212" s="160"/>
      <c r="U212" s="313"/>
      <c r="V212" s="313"/>
      <c r="W212" s="313"/>
      <c r="X212" s="313"/>
      <c r="Y212" s="314"/>
      <c r="Z212" s="313"/>
      <c r="AA212" s="313"/>
      <c r="AB212" s="313"/>
      <c r="AC212" s="313"/>
      <c r="AD212" s="314"/>
      <c r="AE212" s="314"/>
      <c r="AF212" s="314"/>
      <c r="AG212" s="314"/>
      <c r="AH212" s="8"/>
      <c r="AI212" s="8"/>
      <c r="AJ212" s="8"/>
    </row>
    <row r="213" ht="12.75" customHeight="1" spans="1:36" x14ac:dyDescent="0.25" outlineLevel="1" collapsed="1">
      <c r="A213" s="257" t="s">
        <v>3</v>
      </c>
      <c r="B213" s="8"/>
      <c r="C213" s="130" t="str">
        <f>C44</f>
        <v>Other Revenue</v>
      </c>
      <c r="D213" s="8"/>
      <c r="E213" s="8"/>
      <c r="F213" s="310">
        <f t="shared" ref="F213:T213" si="43">F44</f>
        <v>148.5</v>
      </c>
      <c r="G213" s="310">
        <f t="shared" si="43"/>
        <v>156.3</v>
      </c>
      <c r="H213" s="310">
        <f t="shared" si="43"/>
        <v>162.1</v>
      </c>
      <c r="I213" s="310">
        <f t="shared" si="43"/>
        <v>175.4</v>
      </c>
      <c r="J213" s="280">
        <f t="shared" si="43"/>
        <v>642.3</v>
      </c>
      <c r="K213" s="310">
        <f t="shared" si="43"/>
        <v>188.4</v>
      </c>
      <c r="L213" s="310">
        <f t="shared" si="43"/>
        <v>204.2</v>
      </c>
      <c r="M213" s="310">
        <f t="shared" si="43"/>
        <v>205.3</v>
      </c>
      <c r="N213" s="310">
        <f t="shared" si="43"/>
        <v>190</v>
      </c>
      <c r="O213" s="280">
        <f t="shared" si="43"/>
        <v>787.9000000000001</v>
      </c>
      <c r="P213" s="310">
        <f t="shared" si="43"/>
        <v>208</v>
      </c>
      <c r="Q213" s="310">
        <f t="shared" si="43"/>
        <v>214</v>
      </c>
      <c r="R213" s="310">
        <f t="shared" si="43"/>
        <v>204</v>
      </c>
      <c r="S213" s="310">
        <f t="shared" si="43"/>
        <v>200</v>
      </c>
      <c r="T213" s="280">
        <f t="shared" si="43"/>
        <v>826</v>
      </c>
      <c r="U213" s="279">
        <f>U215/U220</f>
        <v>813.1200000000001</v>
      </c>
      <c r="V213" s="279">
        <f>V215/V220</f>
        <v>853.7760000000001</v>
      </c>
      <c r="W213" s="279">
        <f>W215/W220</f>
        <v>896.4648000000001</v>
      </c>
      <c r="X213" s="279">
        <f>X215/X220</f>
        <v>941.2880400000001</v>
      </c>
      <c r="Y213" s="280">
        <f>SUM(U213:X213)</f>
        <v>3504.6488400000007</v>
      </c>
      <c r="Z213" s="279">
        <f>Z215/Z220</f>
        <v>988.3524420000001</v>
      </c>
      <c r="AA213" s="279">
        <f>AA215/AA220</f>
        <v>1037.7700641000001</v>
      </c>
      <c r="AB213" s="279">
        <f>AB215/AB220</f>
        <v>1089.6585673050001</v>
      </c>
      <c r="AC213" s="279">
        <f>AC215/AC220</f>
        <v>1144.1414956702502</v>
      </c>
      <c r="AD213" s="280">
        <f>SUM(Z213:AC213)</f>
        <v>4259.92256907525</v>
      </c>
      <c r="AE213" s="280">
        <f>AE215/AE220</f>
        <v>4472.918697529013</v>
      </c>
      <c r="AF213" s="280">
        <f>AF215/AF220</f>
        <v>4696.564632405464</v>
      </c>
      <c r="AG213" s="280">
        <f>AG215/AG220</f>
        <v>4931.392864025738</v>
      </c>
      <c r="AH213" s="8"/>
      <c r="AI213" s="8"/>
      <c r="AJ213" s="8"/>
    </row>
    <row r="214" ht="12.75" customHeight="1" spans="1:36" x14ac:dyDescent="0.25" outlineLevel="1" collapsed="1">
      <c r="A214" s="8"/>
      <c r="B214" s="8"/>
      <c r="C214" s="130" t="s">
        <v>241</v>
      </c>
      <c r="D214" s="8"/>
      <c r="E214" s="8"/>
      <c r="F214" s="320">
        <v>0</v>
      </c>
      <c r="G214" s="320">
        <v>0</v>
      </c>
      <c r="H214" s="320">
        <v>0</v>
      </c>
      <c r="I214" s="320">
        <v>0</v>
      </c>
      <c r="J214" s="321">
        <f>0+J215-J213</f>
        <v>0</v>
      </c>
      <c r="K214" s="320">
        <v>0</v>
      </c>
      <c r="L214" s="320">
        <v>0</v>
      </c>
      <c r="M214" s="320">
        <v>16251</v>
      </c>
      <c r="N214" s="320">
        <v>17223</v>
      </c>
      <c r="O214" s="321">
        <f>15631+O215-O213</f>
        <v>16830.399999999998</v>
      </c>
      <c r="P214" s="320">
        <v>20464</v>
      </c>
      <c r="Q214" s="320">
        <v>20388</v>
      </c>
      <c r="R214" s="320">
        <v>20240</v>
      </c>
      <c r="S214" s="320">
        <v>21008</v>
      </c>
      <c r="T214" s="321">
        <f>O214+T215-T213</f>
        <v>21008</v>
      </c>
      <c r="U214" s="322">
        <f>S214+U215-U213</f>
        <v>21211.280000000002</v>
      </c>
      <c r="V214" s="322">
        <f>U214+V215-V213</f>
        <v>21424.724000000002</v>
      </c>
      <c r="W214" s="322">
        <f>V214+W215-W213</f>
        <v>21648.8402</v>
      </c>
      <c r="X214" s="322">
        <f>W214+X215-X213</f>
        <v>21884.16221</v>
      </c>
      <c r="Y214" s="321">
        <f>T214+Y215-Y213</f>
        <v>21884.16221</v>
      </c>
      <c r="Z214" s="322">
        <f>X214+Z215-Z213</f>
        <v>22131.2503205</v>
      </c>
      <c r="AA214" s="322">
        <f>Z214+AA215-AA213</f>
        <v>22390.692836525</v>
      </c>
      <c r="AB214" s="322">
        <f>AA214+AB215-AB213</f>
        <v>22663.10747835125</v>
      </c>
      <c r="AC214" s="322">
        <f>AB214+AC215-AC213</f>
        <v>22949.14285226881</v>
      </c>
      <c r="AD214" s="321">
        <f>Y214+AD215-AD213</f>
        <v>22949.14285226881</v>
      </c>
      <c r="AE214" s="321">
        <f>AD214+AE215-AE213</f>
        <v>24067.372526651063</v>
      </c>
      <c r="AF214" s="321">
        <f>AE214+AF215-AF213</f>
        <v>25241.51368475243</v>
      </c>
      <c r="AG214" s="321">
        <f>AF214+AG215-AG213</f>
        <v>26474.361900758864</v>
      </c>
      <c r="AH214" s="8"/>
      <c r="AI214" s="8"/>
      <c r="AJ214" s="8"/>
    </row>
    <row r="215" ht="12.75" customHeight="1" spans="1:36" x14ac:dyDescent="0.25" outlineLevel="1" collapsed="1">
      <c r="A215" s="8"/>
      <c r="B215" s="8"/>
      <c r="C215" s="130" t="s">
        <v>257</v>
      </c>
      <c r="D215" s="8"/>
      <c r="E215" s="8"/>
      <c r="F215" s="320">
        <f>F214+F213-(0)</f>
        <v>148.5</v>
      </c>
      <c r="G215" s="320">
        <f>G214+G213-F214</f>
        <v>156.3</v>
      </c>
      <c r="H215" s="320">
        <f>H214+H213-G214</f>
        <v>162.1</v>
      </c>
      <c r="I215" s="320">
        <f>I214+I213-H214</f>
        <v>175.4</v>
      </c>
      <c r="J215" s="321">
        <f>SUM(F215:I215)</f>
        <v>642.3</v>
      </c>
      <c r="K215" s="320">
        <f>K214+K213-J214</f>
        <v>188.4</v>
      </c>
      <c r="L215" s="320">
        <f>L214+L213-K214</f>
        <v>204.2</v>
      </c>
      <c r="M215" s="320">
        <f>M214+M213-15631</f>
        <v>825.2999999999993</v>
      </c>
      <c r="N215" s="320">
        <f>N214+N213-M214</f>
        <v>1162</v>
      </c>
      <c r="O215" s="321">
        <f>SUM(M215:N215)</f>
        <v>1987.2999999999993</v>
      </c>
      <c r="P215" s="320">
        <f>P214+P213-O214</f>
        <v>3841.600000000002</v>
      </c>
      <c r="Q215" s="320">
        <f>Q214+Q213-P214</f>
        <v>138</v>
      </c>
      <c r="R215" s="320">
        <f>R214+R213-Q214</f>
        <v>56</v>
      </c>
      <c r="S215" s="320">
        <f>S214+S213-R214</f>
        <v>968</v>
      </c>
      <c r="T215" s="321">
        <f>SUM(P215:S215)</f>
        <v>5003.600000000002</v>
      </c>
      <c r="U215" s="322">
        <f>S215*(1+U216)</f>
        <v>1016.4000000000001</v>
      </c>
      <c r="V215" s="322">
        <f>U215*(1+V216)</f>
        <v>1067.22</v>
      </c>
      <c r="W215" s="322">
        <f>V215*(1+W216)</f>
        <v>1120.5810000000001</v>
      </c>
      <c r="X215" s="322">
        <f>W215*(1+X216)</f>
        <v>1176.6100500000002</v>
      </c>
      <c r="Y215" s="321">
        <f>SUM(U215:X215)</f>
        <v>4380.81105</v>
      </c>
      <c r="Z215" s="322">
        <f>X215*(1+Z216)</f>
        <v>1235.4405525000002</v>
      </c>
      <c r="AA215" s="322">
        <f>Z215*(1+AA216)</f>
        <v>1297.2125801250002</v>
      </c>
      <c r="AB215" s="322">
        <f>AA215*(1+AB216)</f>
        <v>1362.0732091312502</v>
      </c>
      <c r="AC215" s="322">
        <f>AB215*(1+AC216)</f>
        <v>1430.1768695878127</v>
      </c>
      <c r="AD215" s="321">
        <f>SUM(Z215:AC215)</f>
        <v>5324.9032113440635</v>
      </c>
      <c r="AE215" s="321">
        <f>AD215*(1+AE216)</f>
        <v>5591.148371911267</v>
      </c>
      <c r="AF215" s="321">
        <f>AE215*(1+AF216)</f>
        <v>5870.70579050683</v>
      </c>
      <c r="AG215" s="321">
        <f>AF215*(1+AG216)</f>
        <v>6164.241080032172</v>
      </c>
      <c r="AH215" s="8"/>
      <c r="AI215" s="8"/>
      <c r="AJ215" s="8"/>
    </row>
    <row r="216" ht="12.75" customHeight="1" spans="1:36" x14ac:dyDescent="0.25" outlineLevel="1" collapsed="1">
      <c r="A216" s="8"/>
      <c r="B216" s="8"/>
      <c r="C216" s="111" t="s">
        <v>258</v>
      </c>
      <c r="D216" s="8"/>
      <c r="E216" s="8"/>
      <c r="F216" s="312"/>
      <c r="G216" s="311">
        <f>IFERROR(G215/F215-1,"--")</f>
        <v>0.05252525252525264</v>
      </c>
      <c r="H216" s="311">
        <f>IFERROR(H215/G215-1,"--")</f>
        <v>0.03710812539987196</v>
      </c>
      <c r="I216" s="311">
        <f>IFERROR(I215/H215-1,"--")</f>
        <v>0.08204811844540405</v>
      </c>
      <c r="J216" s="160"/>
      <c r="K216" s="311">
        <f>IFERROR(K215/I215-1,"--")</f>
        <v>0.07411630558722915</v>
      </c>
      <c r="L216" s="311">
        <f>IFERROR(L215/K215-1,"--")</f>
        <v>0.0838641188959659</v>
      </c>
      <c r="M216" s="311">
        <f>IFERROR(M215/L215-1,"--")</f>
        <v>3.041625857002935</v>
      </c>
      <c r="N216" s="311">
        <f>IFERROR(N215/M215-1,"--")</f>
        <v>0.407972858354539</v>
      </c>
      <c r="O216" s="299">
        <f>IFERROR(O215/J215-1,"--")</f>
        <v>2.094037054335979</v>
      </c>
      <c r="P216" s="311">
        <f>IFERROR(P215/N215-1,"--")</f>
        <v>2.306024096385544</v>
      </c>
      <c r="Q216" s="311">
        <f>IFERROR(Q215/P215-1,"--")</f>
        <v>-0.9640774677217826</v>
      </c>
      <c r="R216" s="311">
        <f>IFERROR(R215/Q215-1,"--")</f>
        <v>-0.5942028985507246</v>
      </c>
      <c r="S216" s="311">
        <f>IFERROR(S215/R215-1,"--")</f>
        <v>16.285714285714285</v>
      </c>
      <c r="T216" s="299">
        <f>IFERROR(T215/O215-1,"--")</f>
        <v>1.5177879535047571</v>
      </c>
      <c r="U216" s="298">
        <f>IF(Case_Scenario="Bull",U217,IF(Case_Scenario="Base",U218,IF(Case_Scenario="bear",U219,"N/A")))</f>
        <v>0.05</v>
      </c>
      <c r="V216" s="298">
        <f>IF(Case_Scenario="Bull",V217,IF(Case_Scenario="Base",V218,IF(Case_Scenario="bear",V219,"N/A")))</f>
        <v>0.05</v>
      </c>
      <c r="W216" s="298">
        <f>IF(Case_Scenario="Bull",W217,IF(Case_Scenario="Base",W218,IF(Case_Scenario="bear",W219,"N/A")))</f>
        <v>0.05</v>
      </c>
      <c r="X216" s="298">
        <f>IF(Case_Scenario="Bull",X217,IF(Case_Scenario="Base",X218,IF(Case_Scenario="bear",X219,"N/A")))</f>
        <v>0.05</v>
      </c>
      <c r="Y216" s="299"/>
      <c r="Z216" s="298">
        <f>IF(Case_Scenario="Bull",Z217,IF(Case_Scenario="Base",Z218,IF(Case_Scenario="bear",Z219,"N/A")))</f>
        <v>0.05</v>
      </c>
      <c r="AA216" s="298">
        <f>IF(Case_Scenario="Bull",AA217,IF(Case_Scenario="Base",AA218,IF(Case_Scenario="bear",AA219,"N/A")))</f>
        <v>0.05</v>
      </c>
      <c r="AB216" s="298">
        <f>IF(Case_Scenario="Bull",AB217,IF(Case_Scenario="Base",AB218,IF(Case_Scenario="bear",AB219,"N/A")))</f>
        <v>0.05</v>
      </c>
      <c r="AC216" s="298">
        <f>IF(Case_Scenario="Bull",AC217,IF(Case_Scenario="Base",AC218,IF(Case_Scenario="bear",AC219,"N/A")))</f>
        <v>0.05</v>
      </c>
      <c r="AD216" s="299"/>
      <c r="AE216" s="299">
        <f>IF(Case_Scenario="Bull",AE217,IF(Case_Scenario="Base",AE218,IF(Case_Scenario="bear",AE219,"N/A")))</f>
        <v>0.05</v>
      </c>
      <c r="AF216" s="299">
        <f>IF(Case_Scenario="Bull",AF217,IF(Case_Scenario="Base",AF218,IF(Case_Scenario="bear",AF219,"N/A")))</f>
        <v>0.05</v>
      </c>
      <c r="AG216" s="299">
        <f>IF(Case_Scenario="Bull",AG217,IF(Case_Scenario="Base",AG218,IF(Case_Scenario="bear",AG219,"N/A")))</f>
        <v>0.05</v>
      </c>
      <c r="AH216" s="8"/>
      <c r="AI216" s="8"/>
      <c r="AJ216" s="8"/>
    </row>
    <row r="217" ht="12.75" customHeight="1" spans="1:36" x14ac:dyDescent="0.25" outlineLevel="1" collapsed="1">
      <c r="A217" s="8"/>
      <c r="B217" s="8"/>
      <c r="C217" s="130" t="s">
        <v>249</v>
      </c>
      <c r="D217" s="8"/>
      <c r="E217" s="8"/>
      <c r="F217" s="312"/>
      <c r="G217" s="312"/>
      <c r="H217" s="312"/>
      <c r="I217" s="312"/>
      <c r="J217" s="160"/>
      <c r="K217" s="312"/>
      <c r="L217" s="312"/>
      <c r="M217" s="312"/>
      <c r="N217" s="312"/>
      <c r="O217" s="160"/>
      <c r="P217" s="312"/>
      <c r="Q217" s="312"/>
      <c r="R217" s="312"/>
      <c r="S217" s="312"/>
      <c r="T217" s="160"/>
      <c r="U217" s="313">
        <v>0.1</v>
      </c>
      <c r="V217" s="313">
        <v>0.1</v>
      </c>
      <c r="W217" s="313">
        <v>0.1</v>
      </c>
      <c r="X217" s="313">
        <v>0.1</v>
      </c>
      <c r="Y217" s="314"/>
      <c r="Z217" s="313">
        <v>0.1</v>
      </c>
      <c r="AA217" s="313">
        <v>0.1</v>
      </c>
      <c r="AB217" s="313">
        <v>0.1</v>
      </c>
      <c r="AC217" s="313">
        <v>0.1</v>
      </c>
      <c r="AD217" s="314"/>
      <c r="AE217" s="314">
        <v>0.1</v>
      </c>
      <c r="AF217" s="314">
        <v>0.1</v>
      </c>
      <c r="AG217" s="314">
        <v>0.1</v>
      </c>
      <c r="AH217" s="8"/>
      <c r="AI217" s="8"/>
      <c r="AJ217" s="8"/>
    </row>
    <row r="218" ht="12.75" customHeight="1" spans="1:36" x14ac:dyDescent="0.25" outlineLevel="1" collapsed="1">
      <c r="A218" s="8"/>
      <c r="B218" s="8"/>
      <c r="C218" s="130" t="s">
        <v>250</v>
      </c>
      <c r="D218" s="8"/>
      <c r="E218" s="8"/>
      <c r="F218" s="312"/>
      <c r="G218" s="312"/>
      <c r="H218" s="312"/>
      <c r="I218" s="312"/>
      <c r="J218" s="160"/>
      <c r="K218" s="312"/>
      <c r="L218" s="312"/>
      <c r="M218" s="312"/>
      <c r="N218" s="312"/>
      <c r="O218" s="160"/>
      <c r="P218" s="312"/>
      <c r="Q218" s="312"/>
      <c r="R218" s="312"/>
      <c r="S218" s="312"/>
      <c r="T218" s="160"/>
      <c r="U218" s="313">
        <v>0.05</v>
      </c>
      <c r="V218" s="313">
        <v>0.05</v>
      </c>
      <c r="W218" s="313">
        <v>0.05</v>
      </c>
      <c r="X218" s="313">
        <v>0.05</v>
      </c>
      <c r="Y218" s="314"/>
      <c r="Z218" s="313">
        <v>0.05</v>
      </c>
      <c r="AA218" s="313">
        <v>0.05</v>
      </c>
      <c r="AB218" s="313">
        <v>0.05</v>
      </c>
      <c r="AC218" s="313">
        <v>0.05</v>
      </c>
      <c r="AD218" s="314"/>
      <c r="AE218" s="314">
        <v>0.05</v>
      </c>
      <c r="AF218" s="314">
        <v>0.05</v>
      </c>
      <c r="AG218" s="314">
        <v>0.05</v>
      </c>
      <c r="AH218" s="8"/>
      <c r="AI218" s="8"/>
      <c r="AJ218" s="8"/>
    </row>
    <row r="219" ht="12.75" customHeight="1" spans="1:36" x14ac:dyDescent="0.25" outlineLevel="1" collapsed="1">
      <c r="A219" s="8"/>
      <c r="B219" s="8"/>
      <c r="C219" s="130" t="s">
        <v>251</v>
      </c>
      <c r="D219" s="8"/>
      <c r="E219" s="8"/>
      <c r="F219" s="312"/>
      <c r="G219" s="312"/>
      <c r="H219" s="312"/>
      <c r="I219" s="312"/>
      <c r="J219" s="160"/>
      <c r="K219" s="312"/>
      <c r="L219" s="312"/>
      <c r="M219" s="312"/>
      <c r="N219" s="312"/>
      <c r="O219" s="160"/>
      <c r="P219" s="312"/>
      <c r="Q219" s="312"/>
      <c r="R219" s="312"/>
      <c r="S219" s="312"/>
      <c r="T219" s="160"/>
      <c r="U219" s="313">
        <v>0</v>
      </c>
      <c r="V219" s="313">
        <v>0</v>
      </c>
      <c r="W219" s="313">
        <v>0</v>
      </c>
      <c r="X219" s="313">
        <v>0</v>
      </c>
      <c r="Y219" s="314"/>
      <c r="Z219" s="313">
        <v>0</v>
      </c>
      <c r="AA219" s="313">
        <v>0</v>
      </c>
      <c r="AB219" s="313">
        <v>0</v>
      </c>
      <c r="AC219" s="313">
        <v>0</v>
      </c>
      <c r="AD219" s="314"/>
      <c r="AE219" s="314">
        <v>0</v>
      </c>
      <c r="AF219" s="314">
        <v>0</v>
      </c>
      <c r="AG219" s="314">
        <v>0</v>
      </c>
      <c r="AH219" s="8"/>
      <c r="AI219" s="8"/>
      <c r="AJ219" s="8"/>
    </row>
    <row r="220" ht="12.75" customHeight="1" spans="1:36" x14ac:dyDescent="0.25" outlineLevel="1" collapsed="1">
      <c r="A220" s="8"/>
      <c r="B220" s="8"/>
      <c r="C220" s="130" t="s">
        <v>259</v>
      </c>
      <c r="D220" s="8"/>
      <c r="E220" s="8"/>
      <c r="F220" s="334">
        <f t="shared" ref="F220:T220" si="44">F215/F213</f>
        <v>1</v>
      </c>
      <c r="G220" s="334">
        <f t="shared" si="44"/>
        <v>1</v>
      </c>
      <c r="H220" s="334">
        <f t="shared" si="44"/>
        <v>1</v>
      </c>
      <c r="I220" s="334">
        <f t="shared" si="44"/>
        <v>1</v>
      </c>
      <c r="J220" s="335">
        <f t="shared" si="44"/>
        <v>1</v>
      </c>
      <c r="K220" s="334">
        <f t="shared" si="44"/>
        <v>1</v>
      </c>
      <c r="L220" s="334">
        <f t="shared" si="44"/>
        <v>1</v>
      </c>
      <c r="M220" s="334">
        <f t="shared" si="44"/>
        <v>4.019970774476373</v>
      </c>
      <c r="N220" s="334">
        <f t="shared" si="44"/>
        <v>6.11578947368421</v>
      </c>
      <c r="O220" s="335">
        <f t="shared" si="44"/>
        <v>2.522274400304606</v>
      </c>
      <c r="P220" s="334">
        <f t="shared" si="44"/>
        <v>18.46923076923078</v>
      </c>
      <c r="Q220" s="334">
        <f t="shared" si="44"/>
        <v>0.6448598130841121</v>
      </c>
      <c r="R220" s="334">
        <f t="shared" si="44"/>
        <v>0.27450980392156865</v>
      </c>
      <c r="S220" s="334">
        <f t="shared" si="44"/>
        <v>4.84</v>
      </c>
      <c r="T220" s="335">
        <f t="shared" si="44"/>
        <v>6.057627118644071</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spans="1:36" x14ac:dyDescent="0.25" outlineLevel="1" collapsed="1">
      <c r="A221" s="8"/>
      <c r="B221" s="8"/>
      <c r="C221" s="130" t="s">
        <v>249</v>
      </c>
      <c r="D221" s="8"/>
      <c r="E221" s="8"/>
      <c r="F221" s="312"/>
      <c r="G221" s="311"/>
      <c r="H221" s="311"/>
      <c r="I221" s="311"/>
      <c r="J221" s="160"/>
      <c r="K221" s="311"/>
      <c r="L221" s="311"/>
      <c r="M221" s="311"/>
      <c r="N221" s="311"/>
      <c r="O221" s="299"/>
      <c r="P221" s="311"/>
      <c r="Q221" s="311"/>
      <c r="R221" s="311"/>
      <c r="S221" s="311"/>
      <c r="T221" s="299"/>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spans="1:36" x14ac:dyDescent="0.25" outlineLevel="1" collapsed="1">
      <c r="A222" s="8"/>
      <c r="B222" s="8"/>
      <c r="C222" s="130" t="s">
        <v>250</v>
      </c>
      <c r="D222" s="8"/>
      <c r="E222" s="8"/>
      <c r="F222" s="312"/>
      <c r="G222" s="312"/>
      <c r="H222" s="312"/>
      <c r="I222" s="312"/>
      <c r="J222" s="160"/>
      <c r="K222" s="312"/>
      <c r="L222" s="312"/>
      <c r="M222" s="312"/>
      <c r="N222" s="312"/>
      <c r="O222" s="160"/>
      <c r="P222" s="312"/>
      <c r="Q222" s="312"/>
      <c r="R222" s="312"/>
      <c r="S222" s="312"/>
      <c r="T222" s="160"/>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spans="1:36" x14ac:dyDescent="0.25" outlineLevel="1" collapsed="1">
      <c r="A223" s="8"/>
      <c r="B223" s="8"/>
      <c r="C223" s="130" t="s">
        <v>251</v>
      </c>
      <c r="D223" s="8"/>
      <c r="E223" s="8"/>
      <c r="F223" s="312"/>
      <c r="G223" s="312"/>
      <c r="H223" s="312"/>
      <c r="I223" s="312"/>
      <c r="J223" s="160"/>
      <c r="K223" s="312"/>
      <c r="L223" s="312"/>
      <c r="M223" s="312"/>
      <c r="N223" s="312"/>
      <c r="O223" s="160"/>
      <c r="P223" s="312"/>
      <c r="Q223" s="312"/>
      <c r="R223" s="312"/>
      <c r="S223" s="312"/>
      <c r="T223" s="160"/>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spans="1:36" x14ac:dyDescent="0.25" outlineLevel="1" collapsed="1">
      <c r="A224" s="8"/>
      <c r="B224" s="8"/>
      <c r="C224" s="8"/>
      <c r="D224" s="8"/>
      <c r="E224" s="8"/>
      <c r="F224" s="312"/>
      <c r="G224" s="312"/>
      <c r="H224" s="312"/>
      <c r="I224" s="312"/>
      <c r="J224" s="160"/>
      <c r="K224" s="312"/>
      <c r="L224" s="312"/>
      <c r="M224" s="312"/>
      <c r="N224" s="312"/>
      <c r="O224" s="160"/>
      <c r="P224" s="312"/>
      <c r="Q224" s="312"/>
      <c r="R224" s="312"/>
      <c r="S224" s="312"/>
      <c r="T224" s="160"/>
      <c r="U224" s="313"/>
      <c r="V224" s="313"/>
      <c r="W224" s="313"/>
      <c r="X224" s="313"/>
      <c r="Y224" s="314"/>
      <c r="Z224" s="313"/>
      <c r="AA224" s="313"/>
      <c r="AB224" s="313"/>
      <c r="AC224" s="313"/>
      <c r="AD224" s="314"/>
      <c r="AE224" s="314"/>
      <c r="AF224" s="314"/>
      <c r="AG224" s="314"/>
      <c r="AH224" s="8"/>
      <c r="AI224" s="8"/>
      <c r="AJ224" s="8"/>
    </row>
    <row r="225" ht="12.75" customHeight="1" spans="1:36" x14ac:dyDescent="0.25" outlineLevel="1" collapsed="1">
      <c r="A225" s="257" t="s">
        <v>3</v>
      </c>
      <c r="B225" s="8"/>
      <c r="C225" s="130" t="str">
        <f>C47</f>
        <v>Professional Services and Other Revenue</v>
      </c>
      <c r="D225" s="8"/>
      <c r="E225" s="8"/>
      <c r="F225" s="310">
        <f t="shared" ref="F225:T225" si="45">F47</f>
        <v>0</v>
      </c>
      <c r="G225" s="310">
        <f t="shared" si="45"/>
        <v>0</v>
      </c>
      <c r="H225" s="310">
        <f t="shared" si="45"/>
        <v>0</v>
      </c>
      <c r="I225" s="310">
        <f t="shared" si="45"/>
        <v>0</v>
      </c>
      <c r="J225" s="280">
        <f t="shared" si="45"/>
        <v>0</v>
      </c>
      <c r="K225" s="310">
        <f t="shared" si="45"/>
        <v>0</v>
      </c>
      <c r="L225" s="310">
        <f t="shared" si="45"/>
        <v>0</v>
      </c>
      <c r="M225" s="310">
        <f t="shared" si="45"/>
        <v>0</v>
      </c>
      <c r="N225" s="310">
        <f t="shared" si="45"/>
        <v>0</v>
      </c>
      <c r="O225" s="280">
        <f t="shared" si="45"/>
        <v>0</v>
      </c>
      <c r="P225" s="310">
        <f t="shared" si="45"/>
        <v>0</v>
      </c>
      <c r="Q225" s="310">
        <f t="shared" si="45"/>
        <v>0</v>
      </c>
      <c r="R225" s="310">
        <f t="shared" si="45"/>
        <v>0</v>
      </c>
      <c r="S225" s="310">
        <f t="shared" si="45"/>
        <v>0</v>
      </c>
      <c r="T225" s="280">
        <f t="shared" si="45"/>
        <v>0</v>
      </c>
      <c r="U225" s="279">
        <f>U227/U232</f>
        <v>0</v>
      </c>
      <c r="V225" s="279">
        <f>V227/V232</f>
        <v>0</v>
      </c>
      <c r="W225" s="279">
        <f>W227/W232</f>
        <v>0</v>
      </c>
      <c r="X225" s="279">
        <f>X227/X232</f>
        <v>0</v>
      </c>
      <c r="Y225" s="280">
        <f>SUM(U225:X225)</f>
        <v>0</v>
      </c>
      <c r="Z225" s="279">
        <f>Z227/Z232</f>
        <v>0</v>
      </c>
      <c r="AA225" s="279">
        <f>AA227/AA232</f>
        <v>0</v>
      </c>
      <c r="AB225" s="279">
        <f>AB227/AB232</f>
        <v>0</v>
      </c>
      <c r="AC225" s="279">
        <f>AC227/AC232</f>
        <v>0</v>
      </c>
      <c r="AD225" s="280">
        <f>SUM(Z225:AC225)</f>
        <v>0</v>
      </c>
      <c r="AE225" s="280">
        <f>AE227/AE232</f>
        <v>0</v>
      </c>
      <c r="AF225" s="280">
        <f>AF227/AF232</f>
        <v>0</v>
      </c>
      <c r="AG225" s="280">
        <f>AG227/AG232</f>
        <v>0</v>
      </c>
      <c r="AH225" s="8"/>
      <c r="AI225" s="8"/>
      <c r="AJ225" s="8"/>
    </row>
    <row r="226" ht="12.75" customHeight="1" spans="1:36" x14ac:dyDescent="0.25" outlineLevel="1" collapsed="1">
      <c r="A226" s="8"/>
      <c r="B226" s="8"/>
      <c r="C226" s="130" t="s">
        <v>241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U226+V227-V225</f>
        <v>0</v>
      </c>
      <c r="W226" s="322">
        <f>V226+W227-W225</f>
        <v>0</v>
      </c>
      <c r="X226" s="322">
        <f>W226+X227-X225</f>
        <v>0</v>
      </c>
      <c r="Y226" s="321">
        <f>T226+Y227-Y225</f>
        <v>0</v>
      </c>
      <c r="Z226" s="322">
        <f>X226+Z227-Z225</f>
        <v>0</v>
      </c>
      <c r="AA226" s="322">
        <f>Z226+AA227-AA225</f>
        <v>0</v>
      </c>
      <c r="AB226" s="322">
        <f>AA226+AB227-AB225</f>
        <v>0</v>
      </c>
      <c r="AC226" s="322">
        <f>AB226+AC227-AC225</f>
        <v>0</v>
      </c>
      <c r="AD226" s="321">
        <f>Y226+AD227-AD225</f>
        <v>0</v>
      </c>
      <c r="AE226" s="321">
        <f>AD226+AE227-AE225</f>
        <v>0</v>
      </c>
      <c r="AF226" s="321">
        <f>AE226+AF227-AF225</f>
        <v>0</v>
      </c>
      <c r="AG226" s="321">
        <f>AF226+AG227-AG225</f>
        <v>0</v>
      </c>
      <c r="AH226" s="8"/>
      <c r="AI226" s="8"/>
      <c r="AJ226" s="8"/>
    </row>
    <row r="227" ht="12.75" customHeight="1" spans="1:36" x14ac:dyDescent="0.25" outlineLevel="1" collapsed="1">
      <c r="A227" s="8"/>
      <c r="B227" s="8"/>
      <c r="C227" s="130" t="s">
        <v>257</v>
      </c>
      <c r="D227" s="8"/>
      <c r="E227" s="8"/>
      <c r="F227" s="320">
        <f>F226+F225-(0)</f>
        <v>0</v>
      </c>
      <c r="G227" s="320">
        <f>G226+G225-F226</f>
        <v>0</v>
      </c>
      <c r="H227" s="320">
        <f>H226+H225-G226</f>
        <v>0</v>
      </c>
      <c r="I227" s="320">
        <f>I226+I225-H226</f>
        <v>0</v>
      </c>
      <c r="J227" s="321">
        <f>SUM(F227:I227)</f>
        <v>0</v>
      </c>
      <c r="K227" s="320">
        <f>K226+K225-J226</f>
        <v>0</v>
      </c>
      <c r="L227" s="320">
        <f>L226+L225-K226</f>
        <v>0</v>
      </c>
      <c r="M227" s="320">
        <f>M226+M225-L226</f>
        <v>0</v>
      </c>
      <c r="N227" s="320">
        <f>N226+N225-M226</f>
        <v>0</v>
      </c>
      <c r="O227" s="321">
        <f>SUM(K227:N227)</f>
        <v>0</v>
      </c>
      <c r="P227" s="320">
        <f>P226+P225-O226</f>
        <v>0</v>
      </c>
      <c r="Q227" s="320">
        <f>Q226+Q225-P226</f>
        <v>0</v>
      </c>
      <c r="R227" s="320">
        <f>R226+R225-Q226</f>
        <v>0</v>
      </c>
      <c r="S227" s="320">
        <f>S226+S225-R226</f>
        <v>0</v>
      </c>
      <c r="T227" s="321">
        <f>SUM(P227:S227)</f>
        <v>0</v>
      </c>
      <c r="U227" s="322">
        <f>S227*(1+U228)</f>
        <v>0</v>
      </c>
      <c r="V227" s="322">
        <f>U227*(1+V228)</f>
        <v>0</v>
      </c>
      <c r="W227" s="322">
        <f>V227*(1+W228)</f>
        <v>0</v>
      </c>
      <c r="X227" s="322">
        <f>W227*(1+X228)</f>
        <v>0</v>
      </c>
      <c r="Y227" s="321">
        <f>SUM(U227:X227)</f>
        <v>0</v>
      </c>
      <c r="Z227" s="322">
        <f>X227*(1+Z228)</f>
        <v>0</v>
      </c>
      <c r="AA227" s="322">
        <f>Z227*(1+AA228)</f>
        <v>0</v>
      </c>
      <c r="AB227" s="322">
        <f>AA227*(1+AB228)</f>
        <v>0</v>
      </c>
      <c r="AC227" s="322">
        <f>AB227*(1+AC228)</f>
        <v>0</v>
      </c>
      <c r="AD227" s="321">
        <f>SUM(Z227:AC227)</f>
        <v>0</v>
      </c>
      <c r="AE227" s="321">
        <f>AD227*(1+AE228)</f>
        <v>0</v>
      </c>
      <c r="AF227" s="321">
        <f>AE227*(1+AF228)</f>
        <v>0</v>
      </c>
      <c r="AG227" s="321">
        <f>AF227*(1+AG228)</f>
        <v>0</v>
      </c>
      <c r="AH227" s="8"/>
      <c r="AI227" s="8"/>
      <c r="AJ227" s="8"/>
    </row>
    <row r="228" ht="12.75" customHeight="1" spans="1:36" x14ac:dyDescent="0.25" outlineLevel="1" collapsed="1">
      <c r="A228" s="8"/>
      <c r="B228" s="8"/>
      <c r="C228" s="111" t="s">
        <v>258</v>
      </c>
      <c r="D228" s="8"/>
      <c r="E228" s="8"/>
      <c r="F228" s="312"/>
      <c r="G228" s="311" t="str">
        <f>IFERROR(G227/F227-1,"--")</f>
        <v>--</v>
      </c>
      <c r="H228" s="311" t="str">
        <f>IFERROR(H227/G227-1,"--")</f>
        <v>--</v>
      </c>
      <c r="I228" s="311" t="str">
        <f>IFERROR(I227/H227-1,"--")</f>
        <v>--</v>
      </c>
      <c r="J228" s="160"/>
      <c r="K228" s="311" t="str">
        <f>IFERROR(K227/I227-1,"--")</f>
        <v>--</v>
      </c>
      <c r="L228" s="311" t="str">
        <f>IFERROR(L227/K227-1,"--")</f>
        <v>--</v>
      </c>
      <c r="M228" s="311" t="str">
        <f>IFERROR(M227/L227-1,"--")</f>
        <v>--</v>
      </c>
      <c r="N228" s="311" t="str">
        <f>IFERROR(N227/M227-1,"--")</f>
        <v>--</v>
      </c>
      <c r="O228" s="299" t="str">
        <f>IFERROR(O227/J227-1,"--")</f>
        <v>--</v>
      </c>
      <c r="P228" s="311" t="str">
        <f>IFERROR(P227/N227-1,"--")</f>
        <v>--</v>
      </c>
      <c r="Q228" s="311" t="str">
        <f>IFERROR(Q227/P227-1,"--")</f>
        <v>--</v>
      </c>
      <c r="R228" s="311" t="str">
        <f>IFERROR(R227/Q227-1,"--")</f>
        <v>--</v>
      </c>
      <c r="S228" s="311" t="str">
        <f>IFERROR(S227/R227-1,"--")</f>
        <v>--</v>
      </c>
      <c r="T228" s="299" t="str">
        <f>IFERROR(T227/O227-1,"--")</f>
        <v>--</v>
      </c>
      <c r="U228" s="298">
        <f>IF(Case_Scenario="Bull",U229,IF(Case_Scenario="Base",U230,IF(Case_Scenario="bear",U231,"N/A")))</f>
        <v>0.05</v>
      </c>
      <c r="V228" s="298">
        <f>IF(Case_Scenario="Bull",V229,IF(Case_Scenario="Base",V230,IF(Case_Scenario="bear",V231,"N/A")))</f>
        <v>0.05</v>
      </c>
      <c r="W228" s="298">
        <f>IF(Case_Scenario="Bull",W229,IF(Case_Scenario="Base",W230,IF(Case_Scenario="bear",W231,"N/A")))</f>
        <v>0.05</v>
      </c>
      <c r="X228" s="298">
        <f>IF(Case_Scenario="Bull",X229,IF(Case_Scenario="Base",X230,IF(Case_Scenario="bear",X231,"N/A")))</f>
        <v>0.05</v>
      </c>
      <c r="Y228" s="299"/>
      <c r="Z228" s="298">
        <f>IF(Case_Scenario="Bull",Z229,IF(Case_Scenario="Base",Z230,IF(Case_Scenario="bear",Z231,"N/A")))</f>
        <v>0.05</v>
      </c>
      <c r="AA228" s="298">
        <f>IF(Case_Scenario="Bull",AA229,IF(Case_Scenario="Base",AA230,IF(Case_Scenario="bear",AA231,"N/A")))</f>
        <v>0.05</v>
      </c>
      <c r="AB228" s="298">
        <f>IF(Case_Scenario="Bull",AB229,IF(Case_Scenario="Base",AB230,IF(Case_Scenario="bear",AB231,"N/A")))</f>
        <v>0.05</v>
      </c>
      <c r="AC228" s="298">
        <f>IF(Case_Scenario="Bull",AC229,IF(Case_Scenario="Base",AC230,IF(Case_Scenario="bear",AC231,"N/A")))</f>
        <v>0.05</v>
      </c>
      <c r="AD228" s="299"/>
      <c r="AE228" s="299">
        <f>IF(Case_Scenario="Bull",AE229,IF(Case_Scenario="Base",AE230,IF(Case_Scenario="bear",AE231,"N/A")))</f>
        <v>0.05</v>
      </c>
      <c r="AF228" s="299">
        <f>IF(Case_Scenario="Bull",AF229,IF(Case_Scenario="Base",AF230,IF(Case_Scenario="bear",AF231,"N/A")))</f>
        <v>0.05</v>
      </c>
      <c r="AG228" s="299">
        <f>IF(Case_Scenario="Bull",AG229,IF(Case_Scenario="Base",AG230,IF(Case_Scenario="bear",AG231,"N/A")))</f>
        <v>0.05</v>
      </c>
      <c r="AH228" s="8"/>
      <c r="AI228" s="8"/>
      <c r="AJ228" s="8"/>
    </row>
    <row r="229" ht="12.75" customHeight="1" spans="1:36" x14ac:dyDescent="0.25" outlineLevel="1" collapsed="1">
      <c r="A229" s="8"/>
      <c r="B229" s="8"/>
      <c r="C229" s="130" t="s">
        <v>249</v>
      </c>
      <c r="D229" s="8"/>
      <c r="E229" s="8"/>
      <c r="F229" s="312"/>
      <c r="G229" s="312"/>
      <c r="H229" s="312"/>
      <c r="I229" s="312"/>
      <c r="J229" s="160"/>
      <c r="K229" s="312"/>
      <c r="L229" s="312"/>
      <c r="M229" s="312"/>
      <c r="N229" s="312"/>
      <c r="O229" s="160"/>
      <c r="P229" s="312"/>
      <c r="Q229" s="312"/>
      <c r="R229" s="312"/>
      <c r="S229" s="312"/>
      <c r="T229" s="160"/>
      <c r="U229" s="313">
        <v>0.1</v>
      </c>
      <c r="V229" s="313">
        <v>0.1</v>
      </c>
      <c r="W229" s="313">
        <v>0.1</v>
      </c>
      <c r="X229" s="313">
        <v>0.1</v>
      </c>
      <c r="Y229" s="314"/>
      <c r="Z229" s="313">
        <v>0.1</v>
      </c>
      <c r="AA229" s="313">
        <v>0.1</v>
      </c>
      <c r="AB229" s="313">
        <v>0.1</v>
      </c>
      <c r="AC229" s="313">
        <v>0.1</v>
      </c>
      <c r="AD229" s="314"/>
      <c r="AE229" s="314">
        <v>0.1</v>
      </c>
      <c r="AF229" s="314">
        <v>0.1</v>
      </c>
      <c r="AG229" s="314">
        <v>0.1</v>
      </c>
      <c r="AH229" s="8"/>
      <c r="AI229" s="8"/>
      <c r="AJ229" s="8"/>
    </row>
    <row r="230" ht="12.75" customHeight="1" spans="1:36" x14ac:dyDescent="0.25" outlineLevel="1" collapsed="1">
      <c r="A230" s="8"/>
      <c r="B230" s="8"/>
      <c r="C230" s="130" t="s">
        <v>250</v>
      </c>
      <c r="D230" s="8"/>
      <c r="E230" s="8"/>
      <c r="F230" s="312"/>
      <c r="G230" s="312"/>
      <c r="H230" s="312"/>
      <c r="I230" s="312"/>
      <c r="J230" s="160"/>
      <c r="K230" s="312"/>
      <c r="L230" s="312"/>
      <c r="M230" s="312"/>
      <c r="N230" s="312"/>
      <c r="O230" s="160"/>
      <c r="P230" s="312"/>
      <c r="Q230" s="312"/>
      <c r="R230" s="312"/>
      <c r="S230" s="312"/>
      <c r="T230" s="160"/>
      <c r="U230" s="313">
        <v>0.05</v>
      </c>
      <c r="V230" s="313">
        <v>0.05</v>
      </c>
      <c r="W230" s="313">
        <v>0.05</v>
      </c>
      <c r="X230" s="313">
        <v>0.05</v>
      </c>
      <c r="Y230" s="314"/>
      <c r="Z230" s="313">
        <v>0.05</v>
      </c>
      <c r="AA230" s="313">
        <v>0.05</v>
      </c>
      <c r="AB230" s="313">
        <v>0.05</v>
      </c>
      <c r="AC230" s="313">
        <v>0.05</v>
      </c>
      <c r="AD230" s="314"/>
      <c r="AE230" s="314">
        <v>0.05</v>
      </c>
      <c r="AF230" s="314">
        <v>0.05</v>
      </c>
      <c r="AG230" s="314">
        <v>0.05</v>
      </c>
      <c r="AH230" s="8"/>
      <c r="AI230" s="8"/>
      <c r="AJ230" s="8"/>
    </row>
    <row r="231" ht="12.75" customHeight="1" spans="1:36" x14ac:dyDescent="0.25" outlineLevel="1" collapsed="1">
      <c r="A231" s="8"/>
      <c r="B231" s="8"/>
      <c r="C231" s="130" t="s">
        <v>251</v>
      </c>
      <c r="D231" s="8"/>
      <c r="E231" s="8"/>
      <c r="F231" s="312"/>
      <c r="G231" s="312"/>
      <c r="H231" s="312"/>
      <c r="I231" s="312"/>
      <c r="J231" s="160"/>
      <c r="K231" s="312"/>
      <c r="L231" s="312"/>
      <c r="M231" s="312"/>
      <c r="N231" s="312"/>
      <c r="O231" s="160"/>
      <c r="P231" s="312"/>
      <c r="Q231" s="312"/>
      <c r="R231" s="312"/>
      <c r="S231" s="312"/>
      <c r="T231" s="160"/>
      <c r="U231" s="313">
        <v>0</v>
      </c>
      <c r="V231" s="313">
        <v>0</v>
      </c>
      <c r="W231" s="313">
        <v>0</v>
      </c>
      <c r="X231" s="313">
        <v>0</v>
      </c>
      <c r="Y231" s="314"/>
      <c r="Z231" s="313">
        <v>0</v>
      </c>
      <c r="AA231" s="313">
        <v>0</v>
      </c>
      <c r="AB231" s="313">
        <v>0</v>
      </c>
      <c r="AC231" s="313">
        <v>0</v>
      </c>
      <c r="AD231" s="314"/>
      <c r="AE231" s="314">
        <v>0</v>
      </c>
      <c r="AF231" s="314">
        <v>0</v>
      </c>
      <c r="AG231" s="314">
        <v>0</v>
      </c>
      <c r="AH231" s="8"/>
      <c r="AI231" s="8"/>
      <c r="AJ231" s="8"/>
    </row>
    <row r="232" ht="12.75" customHeight="1" spans="1:36" x14ac:dyDescent="0.25" outlineLevel="1" collapsed="1">
      <c r="A232" s="8"/>
      <c r="B232" s="8"/>
      <c r="C232" s="130" t="s">
        <v>259</v>
      </c>
      <c r="D232" s="8"/>
      <c r="E232" s="8"/>
      <c r="F232" s="334" t="e">
        <f t="shared" ref="F232:T232" si="46">F227/F225</f>
        <v>#DIV/0!</v>
      </c>
      <c r="G232" s="334" t="e">
        <f t="shared" si="46"/>
        <v>#DIV/0!</v>
      </c>
      <c r="H232" s="334" t="e">
        <f t="shared" si="46"/>
        <v>#DIV/0!</v>
      </c>
      <c r="I232" s="334" t="e">
        <f t="shared" si="46"/>
        <v>#DIV/0!</v>
      </c>
      <c r="J232" s="335" t="e">
        <f t="shared" si="46"/>
        <v>#DIV/0!</v>
      </c>
      <c r="K232" s="334" t="e">
        <f t="shared" si="46"/>
        <v>#DIV/0!</v>
      </c>
      <c r="L232" s="334" t="e">
        <f t="shared" si="46"/>
        <v>#DIV/0!</v>
      </c>
      <c r="M232" s="334" t="e">
        <f t="shared" si="46"/>
        <v>#DIV/0!</v>
      </c>
      <c r="N232" s="334" t="e">
        <f t="shared" si="46"/>
        <v>#DIV/0!</v>
      </c>
      <c r="O232" s="335" t="e">
        <f t="shared" si="46"/>
        <v>#DIV/0!</v>
      </c>
      <c r="P232" s="334" t="e">
        <f t="shared" si="46"/>
        <v>#DIV/0!</v>
      </c>
      <c r="Q232" s="334" t="e">
        <f t="shared" si="46"/>
        <v>#DIV/0!</v>
      </c>
      <c r="R232" s="334" t="e">
        <f t="shared" si="46"/>
        <v>#DIV/0!</v>
      </c>
      <c r="S232" s="334" t="e">
        <f t="shared" si="46"/>
        <v>#DIV/0!</v>
      </c>
      <c r="T232" s="335" t="e">
        <f t="shared" si="46"/>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spans="1:36" x14ac:dyDescent="0.25" outlineLevel="1" collapsed="1">
      <c r="A233" s="8"/>
      <c r="B233" s="8"/>
      <c r="C233" s="130" t="s">
        <v>249</v>
      </c>
      <c r="D233" s="8"/>
      <c r="E233" s="8"/>
      <c r="F233" s="312"/>
      <c r="G233" s="311"/>
      <c r="H233" s="311"/>
      <c r="I233" s="311"/>
      <c r="J233" s="160"/>
      <c r="K233" s="311"/>
      <c r="L233" s="311"/>
      <c r="M233" s="311"/>
      <c r="N233" s="311"/>
      <c r="O233" s="299"/>
      <c r="P233" s="311"/>
      <c r="Q233" s="311"/>
      <c r="R233" s="311"/>
      <c r="S233" s="311"/>
      <c r="T233" s="299"/>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spans="1:36" x14ac:dyDescent="0.25" outlineLevel="1" collapsed="1">
      <c r="A234" s="8"/>
      <c r="B234" s="8"/>
      <c r="C234" s="130" t="s">
        <v>250</v>
      </c>
      <c r="D234" s="8"/>
      <c r="E234" s="8"/>
      <c r="F234" s="312"/>
      <c r="G234" s="312"/>
      <c r="H234" s="312"/>
      <c r="I234" s="312"/>
      <c r="J234" s="160"/>
      <c r="K234" s="312"/>
      <c r="L234" s="312"/>
      <c r="M234" s="312"/>
      <c r="N234" s="312"/>
      <c r="O234" s="160"/>
      <c r="P234" s="312"/>
      <c r="Q234" s="312"/>
      <c r="R234" s="312"/>
      <c r="S234" s="312"/>
      <c r="T234" s="160"/>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spans="1:36" x14ac:dyDescent="0.25" outlineLevel="1" collapsed="1">
      <c r="A235" s="8"/>
      <c r="B235" s="8"/>
      <c r="C235" s="130" t="s">
        <v>251</v>
      </c>
      <c r="D235" s="8"/>
      <c r="E235" s="8"/>
      <c r="F235" s="312"/>
      <c r="G235" s="312"/>
      <c r="H235" s="312"/>
      <c r="I235" s="312"/>
      <c r="J235" s="160"/>
      <c r="K235" s="312"/>
      <c r="L235" s="312"/>
      <c r="M235" s="312"/>
      <c r="N235" s="312"/>
      <c r="O235" s="160"/>
      <c r="P235" s="312"/>
      <c r="Q235" s="312"/>
      <c r="R235" s="312"/>
      <c r="S235" s="312"/>
      <c r="T235" s="160"/>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57" t="s">
        <v>3</v>
      </c>
      <c r="B237" s="257" t="s">
        <v>3</v>
      </c>
      <c r="C237" s="53" t="s">
        <v>260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0"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57" t="s">
        <v>3</v>
      </c>
      <c r="B240" s="257"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3"/>
  <sheetViews>
    <sheetView workbookViewId="0" showGridLines="0" zoomScale="80" zoomScaleNormal="80">
      <pane xSplit="4" ySplit="2" topLeftCell="E222" activePane="bottomRight" state="frozen"/>
      <selection pane="bottomRight" activeCell="F281" sqref="F281"/>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0" width="13.5" customWidth="1"/>
    <col min="31" max="31" width="15" customWidth="1"/>
    <col min="32" max="32" width="15.5" customWidth="1"/>
    <col min="33" max="33" width="13.5" customWidth="1"/>
    <col min="34" max="34" width="1.6640625" customWidth="1"/>
    <col min="35" max="37" width="12.6640625" customWidth="1"/>
  </cols>
  <sheetData>
    <row r="1" ht="13.5" customHeight="1" spans="1:37" x14ac:dyDescent="0.25">
      <c r="A1" s="338"/>
      <c r="B1" s="1"/>
      <c r="C1" s="2" t="str">
        <f>Company_Name&amp;" - "&amp;MID(CELL("filename",A1),FIND("]",CELL("filename",A1))+1,255)&amp;": "&amp;Case_Scenario&amp;" Case"</f>
        <v>Republic Services,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3.5" customHeight="1"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0"/>
      <c r="B3" s="4"/>
      <c r="C3" s="296"/>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39"/>
      <c r="B4" s="4"/>
      <c r="C4" s="259"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39"/>
      <c r="B5" s="4"/>
      <c r="C5" s="260"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39"/>
      <c r="B7" s="4"/>
      <c r="C7" s="259" t="s">
        <v>261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57"/>
      <c r="B8" s="8"/>
      <c r="C8" s="260" t="s">
        <v>262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ht="13.5" customHeight="1" spans="1:37" x14ac:dyDescent="0.25">
      <c r="A9" s="257"/>
      <c r="B9" s="8"/>
      <c r="C9" s="341"/>
      <c r="D9" s="8"/>
      <c r="E9" s="8"/>
      <c r="F9" s="8"/>
      <c r="G9" s="8"/>
      <c r="H9" s="8"/>
      <c r="I9" s="8"/>
      <c r="J9" s="8"/>
      <c r="K9" s="8"/>
      <c r="L9" s="8"/>
      <c r="M9" s="8"/>
      <c r="N9" s="8"/>
      <c r="O9" s="8"/>
      <c r="P9" s="8"/>
      <c r="Q9" s="8"/>
      <c r="R9" s="8"/>
      <c r="S9" s="8"/>
      <c r="T9" s="275"/>
      <c r="U9" s="8"/>
      <c r="V9" s="8"/>
      <c r="W9" s="8"/>
      <c r="X9" s="8"/>
      <c r="Y9" s="8"/>
      <c r="Z9" s="8"/>
      <c r="AA9" s="8"/>
      <c r="AB9" s="8"/>
      <c r="AC9" s="8"/>
      <c r="AD9" s="8"/>
      <c r="AE9" s="8"/>
      <c r="AF9" s="8"/>
      <c r="AG9" s="8"/>
      <c r="AH9" s="8"/>
      <c r="AI9" s="8"/>
      <c r="AJ9" s="8"/>
      <c r="AK9" s="8"/>
    </row>
    <row r="10" ht="13.5" customHeight="1" spans="1:37" x14ac:dyDescent="0.25">
      <c r="A10" s="257" t="s">
        <v>3</v>
      </c>
      <c r="B10" s="40"/>
      <c r="C10" s="186" t="s">
        <v>263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t="13.5" customHeight="1" spans="1:37" x14ac:dyDescent="0.25" outlineLevel="1" collapsed="1">
      <c r="A11" s="257"/>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t="13.5" customHeight="1" spans="1:37" x14ac:dyDescent="0.25" outlineLevel="1" collapsed="1">
      <c r="A12" s="257"/>
      <c r="B12" s="8"/>
      <c r="C12" s="343" t="str">
        <f>$C$75</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t="13.5" customHeight="1" spans="1:37" x14ac:dyDescent="0.25" outlineLevel="1" collapsed="1">
      <c r="A13" s="257"/>
      <c r="B13" s="8"/>
      <c r="C13" s="343" t="str">
        <f>$C$121</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t="13.5" customHeight="1" spans="1:37" x14ac:dyDescent="0.25" outlineLevel="1" collapsed="1">
      <c r="A14" s="257"/>
      <c r="B14" s="8"/>
      <c r="C14" s="343" t="str">
        <f>$C$163</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t="13.5" customHeight="1" spans="1:37" x14ac:dyDescent="0.25" outlineLevel="1" collapsed="1">
      <c r="A15" s="257"/>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t="13.5" customHeight="1" spans="1:37" x14ac:dyDescent="0.25" outlineLevel="1" collapsed="1">
      <c r="A16" s="257"/>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t="13.5" customHeight="1" spans="1:37" x14ac:dyDescent="0.25" outlineLevel="1" collapsed="1">
      <c r="A17" s="257"/>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t="13.5" customHeight="1" spans="1:37" x14ac:dyDescent="0.25" outlineLevel="1" collapsed="1">
      <c r="A18" s="257"/>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t="13.5" customHeight="1" spans="1:37" x14ac:dyDescent="0.25" outlineLevel="1" collapsed="1">
      <c r="A19" s="257"/>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t="13.5" customHeight="1" spans="1:37" x14ac:dyDescent="0.25" outlineLevel="1" collapsed="1">
      <c r="A20" s="257"/>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3.5" customHeight="1" spans="1:37" x14ac:dyDescent="0.25">
      <c r="A21" s="257"/>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3.5" customHeight="1" spans="1:37" x14ac:dyDescent="0.25">
      <c r="A22" s="257"/>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3.5" customHeight="1" spans="1:37" x14ac:dyDescent="0.25" outlineLevel="1" collapsed="1">
      <c r="A23" s="257"/>
      <c r="B23" s="8"/>
      <c r="C23" s="8"/>
      <c r="D23" s="8"/>
      <c r="E23" s="8"/>
      <c r="F23" s="8"/>
      <c r="G23" s="8"/>
      <c r="H23" s="8"/>
      <c r="I23" s="8"/>
      <c r="J23" s="8">
        <v>2</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3.5" customHeight="1" spans="1:37" x14ac:dyDescent="0.25" outlineLevel="1" collapsed="1">
      <c r="A24" s="257"/>
      <c r="B24" s="8"/>
      <c r="C24" s="8"/>
      <c r="D24" s="8"/>
      <c r="E24" s="8"/>
      <c r="F24" s="8">
        <f>G24</f>
        <v>2023</v>
      </c>
      <c r="G24" s="8">
        <f>H24</f>
        <v>2023</v>
      </c>
      <c r="H24" s="8">
        <f>I24</f>
        <v>2023</v>
      </c>
      <c r="I24" s="8">
        <f>J24</f>
        <v>2023</v>
      </c>
      <c r="J24" s="8">
        <f>O24-1</f>
        <v>2023</v>
      </c>
      <c r="K24" s="8">
        <f>L24</f>
        <v>2024</v>
      </c>
      <c r="L24" s="8">
        <f>M24</f>
        <v>2024</v>
      </c>
      <c r="M24" s="8">
        <f>N24</f>
        <v>2024</v>
      </c>
      <c r="N24" s="8">
        <f>O24</f>
        <v>2024</v>
      </c>
      <c r="O24" s="8">
        <f>T24-1</f>
        <v>2024</v>
      </c>
      <c r="P24" s="8">
        <f>Q24</f>
        <v>2025</v>
      </c>
      <c r="Q24" s="8">
        <f>R24</f>
        <v>2025</v>
      </c>
      <c r="R24" s="8">
        <f>S24</f>
        <v>2025</v>
      </c>
      <c r="S24" s="8">
        <f>T24</f>
        <v>2025</v>
      </c>
      <c r="T24" s="8">
        <f>YEAR(Last_FYE)</f>
        <v>2025</v>
      </c>
      <c r="U24" s="8">
        <f>V24</f>
        <v>2026</v>
      </c>
      <c r="V24" s="8">
        <f>W24</f>
        <v>2026</v>
      </c>
      <c r="W24" s="8">
        <f>X24</f>
        <v>2026</v>
      </c>
      <c r="X24" s="8">
        <f>Y24</f>
        <v>2026</v>
      </c>
      <c r="Y24" s="8">
        <f>T24+1</f>
        <v>2026</v>
      </c>
      <c r="Z24" s="8">
        <f>AA24</f>
        <v>2027</v>
      </c>
      <c r="AA24" s="8">
        <f>AB24</f>
        <v>2027</v>
      </c>
      <c r="AB24" s="8">
        <f>AC24</f>
        <v>2027</v>
      </c>
      <c r="AC24" s="8">
        <f>AD24</f>
        <v>2027</v>
      </c>
      <c r="AD24" s="8">
        <f>Y24+1</f>
        <v>2027</v>
      </c>
      <c r="AE24" s="8">
        <f>AD24+1</f>
        <v>2028</v>
      </c>
      <c r="AF24" s="8">
        <f>AE24+1</f>
        <v>2029</v>
      </c>
      <c r="AG24" s="8">
        <f>AF24+1</f>
        <v>2030</v>
      </c>
      <c r="AH24" s="8"/>
      <c r="AI24" s="8"/>
      <c r="AJ24" s="8"/>
      <c r="AK24" s="8"/>
    </row>
    <row r="25" ht="13.5" customHeight="1" spans="1:37" x14ac:dyDescent="0.25">
      <c r="A25" s="257" t="s">
        <v>3</v>
      </c>
      <c r="B25" s="8"/>
      <c r="C25" s="345" t="s">
        <v>264</v>
      </c>
      <c r="D25" s="186"/>
      <c r="E25" s="186"/>
      <c r="F25" s="186" t="str">
        <f>"1Q"&amp;RIGHT(F24,2)</f>
        <v>1Q23</v>
      </c>
      <c r="G25" s="186" t="str">
        <f>"2Q"&amp;RIGHT(G24,2)</f>
        <v>2Q23</v>
      </c>
      <c r="H25" s="186" t="str">
        <f>"3Q"&amp;RIGHT(H24,2)</f>
        <v>3Q23</v>
      </c>
      <c r="I25" s="186" t="str">
        <f>"4Q"&amp;RIGHT(I24,2)</f>
        <v>4Q23</v>
      </c>
      <c r="J25" s="186">
        <f>J24</f>
        <v>2023</v>
      </c>
      <c r="K25" s="186" t="str">
        <f>"1Q"&amp;RIGHT(K24,2)</f>
        <v>1Q24</v>
      </c>
      <c r="L25" s="186" t="str">
        <f>"2Q"&amp;RIGHT(L24,2)</f>
        <v>2Q24</v>
      </c>
      <c r="M25" s="186" t="str">
        <f>"3Q"&amp;RIGHT(M24,2)</f>
        <v>3Q24</v>
      </c>
      <c r="N25" s="186" t="str">
        <f>"4Q"&amp;RIGHT(N24,2)</f>
        <v>4Q24</v>
      </c>
      <c r="O25" s="186">
        <f>O24</f>
        <v>2024</v>
      </c>
      <c r="P25" s="186" t="str">
        <f>"1Q"&amp;RIGHT(P24,2)</f>
        <v>1Q25</v>
      </c>
      <c r="Q25" s="186" t="str">
        <f>"2Q"&amp;RIGHT(Q24,2)</f>
        <v>2Q25</v>
      </c>
      <c r="R25" s="186" t="str">
        <f>"3Q"&amp;RIGHT(R24,2)</f>
        <v>3Q25</v>
      </c>
      <c r="S25" s="186" t="str">
        <f>"4Q"&amp;RIGHT(S24,2)</f>
        <v>4Q25</v>
      </c>
      <c r="T25" s="186">
        <f>T24</f>
        <v>2025</v>
      </c>
      <c r="U25" s="346" t="str">
        <f>IF(Last_FQR="4Q","1Q"&amp;RIGHT(U24,2)&amp;"e","1Q"&amp;RIGHT(U24,2))</f>
        <v>1Q26e</v>
      </c>
      <c r="V25" s="346" t="str">
        <f>IF(Last_FQR="4Q","2Q"&amp;RIGHT(W24,2)&amp;"e",IF(Last_FQR="1Q","2Q"&amp;RIGHT(W24,2)&amp;"e","2Q"&amp;RIGHT(W24,2)))</f>
        <v>2Q26e</v>
      </c>
      <c r="W25" s="186" t="str">
        <f>"3Q"&amp;RIGHT(W24,2)</f>
        <v>3Q26</v>
      </c>
      <c r="X25" s="346" t="str">
        <f>"4Q"&amp;RIGHT(U24,2)&amp;"e"</f>
        <v>4Q26e</v>
      </c>
      <c r="Y25" s="186" t="str">
        <f>Y24&amp;"e"</f>
        <v>2026e</v>
      </c>
      <c r="Z25" s="186" t="str">
        <f>"1Q"&amp;RIGHT(Z24,2)&amp;"e"</f>
        <v>1Q27e</v>
      </c>
      <c r="AA25" s="186" t="str">
        <f>"2Q"&amp;RIGHT(AA24,2)&amp;"e"</f>
        <v>2Q27e</v>
      </c>
      <c r="AB25" s="186" t="str">
        <f>"3Q"&amp;RIGHT(AB24,2)&amp;"e"</f>
        <v>3Q27e</v>
      </c>
      <c r="AC25" s="186" t="str">
        <f>"4Q"&amp;RIGHT(AC24,2)&amp;"e"</f>
        <v>4Q27e</v>
      </c>
      <c r="AD25" s="186" t="str">
        <f>AD24&amp;"e"</f>
        <v>2027e</v>
      </c>
      <c r="AE25" s="186" t="str">
        <f>AE24&amp;"e"</f>
        <v>2028e</v>
      </c>
      <c r="AF25" s="186" t="str">
        <f>AF24&amp;"e"</f>
        <v>2029e</v>
      </c>
      <c r="AG25" s="347" t="str">
        <f>AG24&amp;"e"</f>
        <v>2030e</v>
      </c>
      <c r="AH25" s="257" t="s">
        <v>3</v>
      </c>
      <c r="AI25" s="8"/>
      <c r="AJ25" s="8"/>
      <c r="AK25" s="8"/>
    </row>
    <row r="26" ht="13.5" customHeight="1" spans="1:37" x14ac:dyDescent="0.25">
      <c r="A26" s="257"/>
      <c r="B26" s="8"/>
      <c r="C26" s="267" t="s">
        <v>265</v>
      </c>
      <c r="D26" s="193"/>
      <c r="E26" s="193"/>
      <c r="F26" s="193">
        <v>90</v>
      </c>
      <c r="G26" s="193">
        <v>91</v>
      </c>
      <c r="H26" s="193">
        <v>92</v>
      </c>
      <c r="I26" s="193">
        <v>92</v>
      </c>
      <c r="J26" s="193">
        <f>SUM(F26:I26)</f>
        <v>365</v>
      </c>
      <c r="K26" s="193">
        <v>90</v>
      </c>
      <c r="L26" s="193">
        <v>91</v>
      </c>
      <c r="M26" s="193">
        <v>92</v>
      </c>
      <c r="N26" s="193">
        <v>92</v>
      </c>
      <c r="O26" s="193">
        <f>SUM(K26:N26)</f>
        <v>365</v>
      </c>
      <c r="P26" s="193">
        <v>90</v>
      </c>
      <c r="Q26" s="193">
        <v>91</v>
      </c>
      <c r="R26" s="193">
        <v>92</v>
      </c>
      <c r="S26" s="193">
        <v>92</v>
      </c>
      <c r="T26" s="193">
        <f>SUM(P26:S26)</f>
        <v>365</v>
      </c>
      <c r="U26" s="193">
        <v>90</v>
      </c>
      <c r="V26" s="193">
        <v>91</v>
      </c>
      <c r="W26" s="193">
        <v>92</v>
      </c>
      <c r="X26" s="193">
        <v>92</v>
      </c>
      <c r="Y26" s="193">
        <f>SUM(U26:X26)</f>
        <v>365</v>
      </c>
      <c r="Z26" s="193">
        <v>91</v>
      </c>
      <c r="AA26" s="193">
        <v>91</v>
      </c>
      <c r="AB26" s="193">
        <v>92</v>
      </c>
      <c r="AC26" s="193">
        <v>92</v>
      </c>
      <c r="AD26" s="193">
        <f>SUM(Z26:AC26)</f>
        <v>366</v>
      </c>
      <c r="AE26" s="193">
        <v>365</v>
      </c>
      <c r="AF26" s="193">
        <v>365</v>
      </c>
      <c r="AG26" s="194">
        <v>365</v>
      </c>
      <c r="AH26" s="8"/>
      <c r="AI26" s="8"/>
      <c r="AJ26" s="8"/>
      <c r="AK26" s="8"/>
    </row>
    <row r="27" ht="13.5" customHeight="1" spans="1:37" x14ac:dyDescent="0.25">
      <c r="A27" s="257"/>
      <c r="B27" s="8"/>
      <c r="C27" s="130"/>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row>
    <row r="28" ht="13.5" customHeight="1" spans="1:37" x14ac:dyDescent="0.25">
      <c r="A28" s="257"/>
      <c r="B28" s="8"/>
      <c r="C28" s="130" t="s">
        <v>266</v>
      </c>
      <c r="D28" s="8"/>
      <c r="E28" s="8"/>
      <c r="F28" s="348">
        <f>'Segment Analysis'!F8</f>
        <v>4147.2</v>
      </c>
      <c r="G28" s="348">
        <f>'Segment Analysis'!G8</f>
        <v>4321.4</v>
      </c>
      <c r="H28" s="348">
        <f>'Segment Analysis'!H8</f>
        <v>4414.200000000001</v>
      </c>
      <c r="I28" s="348">
        <f>'Segment Analysis'!I8</f>
        <v>4396.3</v>
      </c>
      <c r="J28" s="275">
        <f>SUM(F28:I28)</f>
        <v>17279.1</v>
      </c>
      <c r="K28" s="348">
        <f>'Segment Analysis'!K8</f>
        <v>4439</v>
      </c>
      <c r="L28" s="348">
        <f>'Segment Analysis'!L8</f>
        <v>4663</v>
      </c>
      <c r="M28" s="348">
        <f>'Segment Analysis'!M8</f>
        <v>4680</v>
      </c>
      <c r="N28" s="348">
        <f>'Segment Analysis'!N8</f>
        <v>4634</v>
      </c>
      <c r="O28" s="275">
        <f>SUM(K28:N28)</f>
        <v>18416</v>
      </c>
      <c r="P28" s="348">
        <f>'Segment Analysis'!P8</f>
        <v>4593</v>
      </c>
      <c r="Q28" s="348">
        <f>'Segment Analysis'!Q8</f>
        <v>4882</v>
      </c>
      <c r="R28" s="348">
        <f>'Segment Analysis'!R8</f>
        <v>4827</v>
      </c>
      <c r="S28" s="348">
        <f>'Segment Analysis'!S8</f>
        <v>4727</v>
      </c>
      <c r="T28" s="275">
        <f>SUM(P28:S28)</f>
        <v>19029</v>
      </c>
      <c r="U28" s="348">
        <f>'Segment Analysis'!U8</f>
        <v>4152.631</v>
      </c>
      <c r="V28" s="348">
        <f>'Segment Analysis'!V8</f>
        <v>4379.486</v>
      </c>
      <c r="W28" s="348">
        <f>'Segment Analysis'!W8</f>
        <v>4358.186</v>
      </c>
      <c r="X28" s="349">
        <f>'Segment Analysis'!X8</f>
        <v>4435.81544325</v>
      </c>
      <c r="Y28" s="275">
        <f>SUM(U28:X28)</f>
        <v>17326.11844325</v>
      </c>
      <c r="Z28" s="274">
        <f>'Segment Analysis'!Z8</f>
        <v>4358.665169</v>
      </c>
      <c r="AA28" s="274">
        <f>'Segment Analysis'!AA8</f>
        <v>4593.347566</v>
      </c>
      <c r="AB28" s="274">
        <f>'Segment Analysis'!AB8</f>
        <v>4573.971099999999</v>
      </c>
      <c r="AC28" s="274">
        <f>'Segment Analysis'!AC8</f>
        <v>4522.678832</v>
      </c>
      <c r="AD28" s="275">
        <f>SUM(Z28:AC28)</f>
        <v>18048.662666999997</v>
      </c>
      <c r="AE28" s="275">
        <f>'Segment Analysis'!AE8</f>
        <v>18921.749183770997</v>
      </c>
      <c r="AF28" s="275">
        <f>'Segment Analysis'!AF8</f>
        <v>19882.732929281065</v>
      </c>
      <c r="AG28" s="275">
        <f>'Segment Analysis'!AG8</f>
        <v>20839.078807590817</v>
      </c>
      <c r="AH28" s="8"/>
      <c r="AI28" s="8"/>
      <c r="AJ28" s="8"/>
      <c r="AK28" s="8"/>
    </row>
    <row r="29" ht="13.5" customHeight="1" spans="1:37" x14ac:dyDescent="0.25">
      <c r="A29" s="257"/>
      <c r="B29" s="8"/>
      <c r="C29" s="130" t="s">
        <v>267</v>
      </c>
      <c r="D29" s="8"/>
      <c r="E29" s="8"/>
      <c r="F29" s="350">
        <v>-2169.5</v>
      </c>
      <c r="G29" s="350">
        <v>-2224.4</v>
      </c>
      <c r="H29" s="350">
        <v>-2284.3</v>
      </c>
      <c r="I29" s="350">
        <v>-2265</v>
      </c>
      <c r="J29" s="351">
        <f>SUM(F29:I29)</f>
        <v>-8943.2</v>
      </c>
      <c r="K29" s="350">
        <v>-2283</v>
      </c>
      <c r="L29" s="350">
        <v>-2383</v>
      </c>
      <c r="M29" s="350">
        <v>-2367</v>
      </c>
      <c r="N29" s="350">
        <v>-2317</v>
      </c>
      <c r="O29" s="351">
        <f>SUM(K29:N29)</f>
        <v>-9350</v>
      </c>
      <c r="P29" s="350">
        <v>-2314</v>
      </c>
      <c r="Q29" s="350">
        <v>-2449</v>
      </c>
      <c r="R29" s="350">
        <v>-2463</v>
      </c>
      <c r="S29" s="350">
        <v>-2404</v>
      </c>
      <c r="T29" s="351">
        <f>SUM(P29:S29)</f>
        <v>-9630</v>
      </c>
      <c r="U29" s="350"/>
      <c r="V29" s="350"/>
      <c r="W29" s="350"/>
      <c r="X29" s="352">
        <f>IF(Cover!$F$37="Bottom Up",(X30-X28),(-X28*(1-X68)))</f>
        <v>-2555.029695312</v>
      </c>
      <c r="Y29" s="351">
        <f>SUM(U29:X29)</f>
        <v>-2555.029695312</v>
      </c>
      <c r="Z29" s="353">
        <f>IF(Cover!$F$37="Bottom Up",(Z30-Z28),(-Z28*(1-Z68)))</f>
        <v>-2493.1564766680003</v>
      </c>
      <c r="AA29" s="353">
        <f>IF(Cover!$F$37="Bottom Up",(AA30-AA28),(-AA28*(1-AA68)))</f>
        <v>-2641.17485045</v>
      </c>
      <c r="AB29" s="353">
        <f>IF(Cover!$F$37="Bottom Up",(AB30-AB28),(-AB28*(1-AB68)))</f>
        <v>-2616.3114691999995</v>
      </c>
      <c r="AC29" s="353">
        <f>IF(Cover!$F$37="Bottom Up",(AC30-AC28),(-AC28*(1-AC68)))</f>
        <v>-2586.972291904</v>
      </c>
      <c r="AD29" s="351">
        <f>SUM(Z29:AC29)</f>
        <v>-10337.615088221999</v>
      </c>
      <c r="AE29" s="351">
        <f>IF(Cover!$F$37="Bottom Up",(AE30-AE28),(-AE28*(1-AE68)))</f>
        <v>-10766.475285565697</v>
      </c>
      <c r="AF29" s="351">
        <f>IF(Cover!$F$37="Bottom Up",(AF30-AF28),(-AF28*(1-AF68)))</f>
        <v>-11372.92323554877</v>
      </c>
      <c r="AG29" s="351">
        <f>IF(Cover!$F$37="Bottom Up",(AG30-AG28),(-AG28*(1-AG68)))</f>
        <v>-11919.95307794195</v>
      </c>
      <c r="AH29" s="8"/>
      <c r="AI29" s="8"/>
      <c r="AJ29" s="8"/>
      <c r="AK29" s="8"/>
    </row>
    <row r="30" ht="13.5" customHeight="1" spans="1:37" x14ac:dyDescent="0.25">
      <c r="A30" s="257"/>
      <c r="B30" s="8"/>
      <c r="C30" s="130" t="s">
        <v>268</v>
      </c>
      <c r="D30" s="8"/>
      <c r="E30" s="8"/>
      <c r="F30" s="348">
        <f>SUM(F28:F29)</f>
        <v>1977.6999999999998</v>
      </c>
      <c r="G30" s="348">
        <f>SUM(G28:G29)</f>
        <v>2096.9999999999995</v>
      </c>
      <c r="H30" s="348">
        <f>SUM(H28:H29)</f>
        <v>2129.9000000000005</v>
      </c>
      <c r="I30" s="348">
        <f>SUM(I28:I29)</f>
        <v>2131.3</v>
      </c>
      <c r="J30" s="275">
        <f>SUM(F30:I30)</f>
        <v>8335.900000000001</v>
      </c>
      <c r="K30" s="348">
        <f>SUM(K28:K29)</f>
        <v>2156</v>
      </c>
      <c r="L30" s="348">
        <f>SUM(L28:L29)</f>
        <v>2280</v>
      </c>
      <c r="M30" s="348">
        <f>SUM(M28:M29)</f>
        <v>2313</v>
      </c>
      <c r="N30" s="348">
        <f>SUM(N28:N29)</f>
        <v>2317</v>
      </c>
      <c r="O30" s="275">
        <f>SUM(K30:N30)</f>
        <v>9066</v>
      </c>
      <c r="P30" s="348">
        <f>SUM(P28:P29)</f>
        <v>2279</v>
      </c>
      <c r="Q30" s="348">
        <f>SUM(Q28:Q29)</f>
        <v>2433</v>
      </c>
      <c r="R30" s="348">
        <f>SUM(R28:R29)</f>
        <v>2364</v>
      </c>
      <c r="S30" s="348">
        <f>SUM(S28:S29)</f>
        <v>2323</v>
      </c>
      <c r="T30" s="275">
        <f>SUM(P30:S30)</f>
        <v>9399</v>
      </c>
      <c r="U30" s="348">
        <f>SUM(U28:U29)</f>
        <v>4152.631</v>
      </c>
      <c r="V30" s="348">
        <f>SUM(V28:V29)</f>
        <v>4379.486</v>
      </c>
      <c r="W30" s="348">
        <f>SUM(W28:W29)</f>
        <v>4358.186</v>
      </c>
      <c r="X30" s="349">
        <f>IF(Cover!$F$37="Bottom Up",(X36-SUM(X32:X33,X35)),X28+X29)</f>
        <v>1880.7857479379995</v>
      </c>
      <c r="Y30" s="275">
        <f>SUM(U30:X30)</f>
        <v>14771.088747938</v>
      </c>
      <c r="Z30" s="274">
        <f>IF(Cover!$F$37="Bottom Up",(Z36-SUM(Z32:Z33,Z35)),Z28+Z29)</f>
        <v>1865.5086923319996</v>
      </c>
      <c r="AA30" s="274">
        <f>IF(Cover!$F$37="Bottom Up",(AA36-SUM(AA32:AA33,AA35)),AA28+AA29)</f>
        <v>1952.1727155500002</v>
      </c>
      <c r="AB30" s="274">
        <f>IF(Cover!$F$37="Bottom Up",(AB36-SUM(AB32:AB33,AB35)),AB28+AB29)</f>
        <v>1957.6596307999994</v>
      </c>
      <c r="AC30" s="274">
        <f>IF(Cover!$F$37="Bottom Up",(AC36-SUM(AC32:AC33,AC35)),AC28+AC29)</f>
        <v>1935.7065400959996</v>
      </c>
      <c r="AD30" s="275">
        <f>SUM(Z30:AC30)</f>
        <v>7711.047578778</v>
      </c>
      <c r="AE30" s="275">
        <f>IF(Cover!$F$37="Bottom Up",(AE36-SUM(AE32:AE33,AE35)),AE28+AE29)</f>
        <v>8155.2738982053</v>
      </c>
      <c r="AF30" s="275">
        <f>IF(Cover!$F$37="Bottom Up",(AF36-SUM(AF32:AF33,AF35)),AF28+AF29)</f>
        <v>8509.809693732295</v>
      </c>
      <c r="AG30" s="275">
        <f>IF(Cover!$F$37="Bottom Up",(AG36-SUM(AG32:AG33,AG35)),AG28+AG29)</f>
        <v>8919.125729648867</v>
      </c>
      <c r="AH30" s="8"/>
      <c r="AI30" s="8"/>
      <c r="AJ30" s="8"/>
      <c r="AK30" s="8"/>
    </row>
    <row r="31" ht="13.5" customHeight="1" spans="1:37" x14ac:dyDescent="0.25">
      <c r="A31" s="257"/>
      <c r="B31" s="8"/>
      <c r="C31" s="130"/>
      <c r="D31" s="8"/>
      <c r="E31" s="8"/>
      <c r="F31" s="354"/>
      <c r="G31" s="308"/>
      <c r="H31" s="308"/>
      <c r="I31" s="308"/>
      <c r="J31" s="8"/>
      <c r="K31" s="354"/>
      <c r="L31" s="308"/>
      <c r="M31" s="308"/>
      <c r="N31" s="308"/>
      <c r="O31" s="8"/>
      <c r="P31" s="354"/>
      <c r="Q31" s="308"/>
      <c r="R31" s="308"/>
      <c r="S31" s="308"/>
      <c r="T31" s="8"/>
      <c r="U31" s="354"/>
      <c r="V31" s="308"/>
      <c r="W31" s="308"/>
      <c r="X31" s="355"/>
      <c r="Y31" s="8"/>
      <c r="Z31" s="309"/>
      <c r="AA31" s="309"/>
      <c r="AB31" s="309"/>
      <c r="AC31" s="309"/>
      <c r="AD31" s="8"/>
      <c r="AE31" s="8"/>
      <c r="AF31" s="8"/>
      <c r="AG31" s="8"/>
      <c r="AH31" s="8"/>
      <c r="AI31" s="8"/>
      <c r="AJ31" s="8"/>
      <c r="AK31" s="8"/>
    </row>
    <row r="32" ht="13.5" customHeight="1" spans="1:37" x14ac:dyDescent="0.25">
      <c r="A32" s="257"/>
      <c r="B32" s="8"/>
      <c r="C32" s="130" t="s">
        <v>269</v>
      </c>
      <c r="D32" s="8"/>
      <c r="E32" s="8"/>
      <c r="F32" s="356">
        <v>-379.2</v>
      </c>
      <c r="G32" s="356">
        <v>-396</v>
      </c>
      <c r="H32" s="356">
        <v>-402.1</v>
      </c>
      <c r="I32" s="356">
        <v>-431.7</v>
      </c>
      <c r="J32" s="153">
        <f>SUM(F32:I32)</f>
        <v>-1609.0000000000002</v>
      </c>
      <c r="K32" s="356">
        <v>-414</v>
      </c>
      <c r="L32" s="356">
        <v>-407</v>
      </c>
      <c r="M32" s="356">
        <v>-406</v>
      </c>
      <c r="N32" s="356">
        <v>-447</v>
      </c>
      <c r="O32" s="153">
        <f>SUM(K32:N32)</f>
        <v>-1674</v>
      </c>
      <c r="P32" s="356">
        <v>-427</v>
      </c>
      <c r="Q32" s="356">
        <v>-425</v>
      </c>
      <c r="R32" s="356">
        <v>-422</v>
      </c>
      <c r="S32" s="356">
        <v>-436</v>
      </c>
      <c r="T32" s="153">
        <f>SUM(P32:S32)</f>
        <v>-1710</v>
      </c>
      <c r="U32" s="356"/>
      <c r="V32" s="356"/>
      <c r="W32" s="356"/>
      <c r="X32" s="357">
        <f>X69*X$28</f>
        <v>-456.88899065474993</v>
      </c>
      <c r="Y32" s="153">
        <f>SUM(U32:X32)</f>
        <v>-456.88899065474993</v>
      </c>
      <c r="Z32" s="358">
        <f t="shared" ref="Z32:AC33" si="0">Z69*Z$28</f>
        <v>-462.018507914</v>
      </c>
      <c r="AA32" s="358">
        <f t="shared" si="0"/>
        <v>-459.33475660000005</v>
      </c>
      <c r="AB32" s="358">
        <f t="shared" si="0"/>
        <v>-457.3971099999999</v>
      </c>
      <c r="AC32" s="358">
        <f t="shared" si="0"/>
        <v>-465.8359196959999</v>
      </c>
      <c r="AD32" s="153">
        <f>SUM(Z32:AC32)</f>
        <v>-1844.5862942099998</v>
      </c>
      <c r="AE32" s="153">
        <f t="shared" ref="AE32:AG33" si="1">AE69*AE$28</f>
        <v>-1892.1749183770999</v>
      </c>
      <c r="AF32" s="153">
        <f t="shared" si="1"/>
        <v>-1988.2732929281065</v>
      </c>
      <c r="AG32" s="153">
        <f t="shared" si="1"/>
        <v>-2083.9078807590818</v>
      </c>
      <c r="AH32" s="8"/>
      <c r="AI32" s="8"/>
      <c r="AJ32" s="8"/>
      <c r="AK32" s="8"/>
    </row>
    <row r="33" ht="13.5" customHeight="1" spans="1:37" x14ac:dyDescent="0.25">
      <c r="A33" s="257"/>
      <c r="B33" s="8"/>
      <c r="C33" s="130" t="s">
        <v>270</v>
      </c>
      <c r="D33" s="8"/>
      <c r="E33" s="8"/>
      <c r="F33" s="356"/>
      <c r="G33" s="356"/>
      <c r="H33" s="356"/>
      <c r="I33" s="356"/>
      <c r="J33" s="153">
        <f>SUM(F33:I33)</f>
        <v>0</v>
      </c>
      <c r="K33" s="356"/>
      <c r="L33" s="356"/>
      <c r="M33" s="356"/>
      <c r="N33" s="356"/>
      <c r="O33" s="153">
        <f>SUM(K33:N33)</f>
        <v>0</v>
      </c>
      <c r="P33" s="356"/>
      <c r="Q33" s="356"/>
      <c r="R33" s="356"/>
      <c r="S33" s="356"/>
      <c r="T33" s="153">
        <f>SUM(P33:S33)</f>
        <v>0</v>
      </c>
      <c r="U33" s="356"/>
      <c r="V33" s="356"/>
      <c r="W33" s="356"/>
      <c r="X33" s="357">
        <f>X70*X$28</f>
        <v>0</v>
      </c>
      <c r="Y33" s="153">
        <f>SUM(U33:X33)</f>
        <v>0</v>
      </c>
      <c r="Z33" s="358">
        <f t="shared" si="0"/>
        <v>0</v>
      </c>
      <c r="AA33" s="358">
        <f t="shared" si="0"/>
        <v>0</v>
      </c>
      <c r="AB33" s="358">
        <f t="shared" si="0"/>
        <v>0</v>
      </c>
      <c r="AC33" s="358">
        <f t="shared" si="0"/>
        <v>0</v>
      </c>
      <c r="AD33" s="153">
        <f>SUM(Z33:AC33)</f>
        <v>0</v>
      </c>
      <c r="AE33" s="153">
        <f t="shared" si="1"/>
        <v>0</v>
      </c>
      <c r="AF33" s="153">
        <f t="shared" si="1"/>
        <v>0</v>
      </c>
      <c r="AG33" s="153">
        <f t="shared" si="1"/>
        <v>0</v>
      </c>
      <c r="AH33" s="8"/>
      <c r="AI33" s="8"/>
      <c r="AJ33" s="8"/>
      <c r="AK33" s="8"/>
    </row>
    <row r="34" ht="13.5" customHeight="1" spans="1:37" x14ac:dyDescent="0.25">
      <c r="A34" s="257"/>
      <c r="B34" s="8"/>
      <c r="C34" s="359" t="s">
        <v>271</v>
      </c>
      <c r="D34" s="8"/>
      <c r="E34" s="8"/>
      <c r="F34" s="360">
        <v>-358.7</v>
      </c>
      <c r="G34" s="360">
        <v>-358.3</v>
      </c>
      <c r="H34" s="360">
        <v>-382.3</v>
      </c>
      <c r="I34" s="360">
        <v>-401.6</v>
      </c>
      <c r="J34" s="360">
        <f>SUM(F34:I34)</f>
        <v>-1500.9</v>
      </c>
      <c r="K34" s="360">
        <v>-399</v>
      </c>
      <c r="L34" s="360">
        <v>-413</v>
      </c>
      <c r="M34" s="360">
        <v>-422</v>
      </c>
      <c r="N34" s="360">
        <v>-443</v>
      </c>
      <c r="O34" s="360">
        <f>SUM(K34:N34)</f>
        <v>-1677</v>
      </c>
      <c r="P34" s="360">
        <v>-434</v>
      </c>
      <c r="Q34" s="360">
        <v>-463</v>
      </c>
      <c r="R34" s="360">
        <v>-459</v>
      </c>
      <c r="S34" s="360">
        <v>-458</v>
      </c>
      <c r="T34" s="360">
        <f>SUM(P34:S34)</f>
        <v>-1814</v>
      </c>
      <c r="U34" s="361"/>
      <c r="V34" s="361"/>
      <c r="W34" s="361"/>
      <c r="X34" s="362">
        <f>X197</f>
        <v>-494.4525422831382</v>
      </c>
      <c r="Y34" s="324">
        <f>SUM(U34:X34)</f>
        <v>-1850.4525422831382</v>
      </c>
      <c r="Z34" s="363">
        <f>Z197</f>
        <v>-485.2960137223393</v>
      </c>
      <c r="AA34" s="363">
        <f>AA197</f>
        <v>-485.93052936790724</v>
      </c>
      <c r="AB34" s="363">
        <f>AB197</f>
        <v>-486.65053926761317</v>
      </c>
      <c r="AC34" s="363">
        <f>AC197</f>
        <v>-487.72771209352163</v>
      </c>
      <c r="AD34" s="324">
        <f>SUM(Z34:AC34)</f>
        <v>-1945.6047944513814</v>
      </c>
      <c r="AE34" s="153">
        <f>AE197</f>
        <v>-1977.3332418248879</v>
      </c>
      <c r="AF34" s="153">
        <f>AF197</f>
        <v>-2085.257924525477</v>
      </c>
      <c r="AG34" s="153">
        <f>AG197</f>
        <v>-2190.6617597324716</v>
      </c>
      <c r="AH34" s="8"/>
      <c r="AI34" s="8"/>
      <c r="AJ34" s="8"/>
      <c r="AK34" s="8"/>
    </row>
    <row r="35" ht="13.5" customHeight="1" spans="1:37" x14ac:dyDescent="0.25">
      <c r="A35" s="257"/>
      <c r="B35" s="8"/>
      <c r="C35" s="130" t="s">
        <v>272</v>
      </c>
      <c r="D35" s="8"/>
      <c r="E35" s="8"/>
      <c r="F35" s="350">
        <v>-595.6999999999998</v>
      </c>
      <c r="G35" s="350">
        <v>-635.4999999999998</v>
      </c>
      <c r="H35" s="350">
        <v>-617.7000000000005</v>
      </c>
      <c r="I35" s="350">
        <v>-597.2</v>
      </c>
      <c r="J35" s="351">
        <f>SUM(F35:I35)</f>
        <v>-2446.1000000000004</v>
      </c>
      <c r="K35" s="350">
        <v>-610</v>
      </c>
      <c r="L35" s="350">
        <v>-646</v>
      </c>
      <c r="M35" s="350">
        <v>-639</v>
      </c>
      <c r="N35" s="350">
        <v>-624</v>
      </c>
      <c r="O35" s="351">
        <f>SUM(K35:N35)</f>
        <v>-2519</v>
      </c>
      <c r="P35" s="350">
        <v>-614</v>
      </c>
      <c r="Q35" s="350">
        <v>-684</v>
      </c>
      <c r="R35" s="350">
        <v>-647</v>
      </c>
      <c r="S35" s="350">
        <v>-629</v>
      </c>
      <c r="T35" s="351">
        <f>SUM(P35:S35)</f>
        <v>-2574</v>
      </c>
      <c r="U35" s="364"/>
      <c r="V35" s="350"/>
      <c r="W35" s="350"/>
      <c r="X35" s="352">
        <f>X71*X$28</f>
        <v>-35.486523546</v>
      </c>
      <c r="Y35" s="351">
        <f>SUM(U35:X35)</f>
        <v>-35.486523546</v>
      </c>
      <c r="Z35" s="353">
        <f>Z71*Z$28</f>
        <v>-30.510656183</v>
      </c>
      <c r="AA35" s="353">
        <f>AA71*AA$28</f>
        <v>-32.153432962000004</v>
      </c>
      <c r="AB35" s="353">
        <f>AB71*AB$28</f>
        <v>-32.017797699999996</v>
      </c>
      <c r="AC35" s="353">
        <f>AC71*AC$28</f>
        <v>-31.658751824</v>
      </c>
      <c r="AD35" s="351">
        <f>SUM(Z35:AC35)</f>
        <v>-126.34063866900001</v>
      </c>
      <c r="AE35" s="351">
        <f>AE71*AE$28</f>
        <v>-132.452244286397</v>
      </c>
      <c r="AF35" s="351">
        <f>AF71*AF$28</f>
        <v>-119.29639757568638</v>
      </c>
      <c r="AG35" s="351">
        <f>AG71*AG$28</f>
        <v>-104.19539403795409</v>
      </c>
      <c r="AH35" s="8"/>
      <c r="AI35" s="8"/>
      <c r="AJ35" s="8"/>
      <c r="AK35" s="8"/>
    </row>
    <row r="36" ht="13.5" customHeight="1" spans="1:37" x14ac:dyDescent="0.25">
      <c r="A36" s="257"/>
      <c r="B36" s="8"/>
      <c r="C36" s="130" t="s">
        <v>273</v>
      </c>
      <c r="D36" s="8"/>
      <c r="E36" s="8"/>
      <c r="F36" s="348">
        <f>IF($C$34="Depreciation &amp; Amortization (incl. in SG&amp;A)",F30+SUM(F32:F33,F35),F30+SUM(F32:F35))</f>
        <v>644.0999999999999</v>
      </c>
      <c r="G36" s="348">
        <f>IF($C$34="Depreciation &amp; Amortization (incl. in SG&amp;A)",G30+SUM(G32:G33,G35),G30+SUM(G32:G35))</f>
        <v>707.1999999999998</v>
      </c>
      <c r="H36" s="348">
        <f>IF($C$34="Depreciation &amp; Amortization (incl. in SG&amp;A)",H30+SUM(H32:H33,H35),H30+SUM(H32:H35))</f>
        <v>727.8</v>
      </c>
      <c r="I36" s="348">
        <f>IF($C$34="Depreciation &amp; Amortization (incl. in SG&amp;A)",I30+SUM(I32:I33,I35),I30+SUM(I32:I35))</f>
        <v>700.8000000000002</v>
      </c>
      <c r="J36" s="275">
        <f>SUM(F36:I36)</f>
        <v>2779.8999999999996</v>
      </c>
      <c r="K36" s="348">
        <f>IF($C$34="Depreciation &amp; Amortization (incl. in SG&amp;A)",K30+SUM(K32:K33,K35),K30+SUM(K32:K35))</f>
        <v>733</v>
      </c>
      <c r="L36" s="348">
        <f>IF($C$34="Depreciation &amp; Amortization (incl. in SG&amp;A)",L30+SUM(L32:L33,L35),L30+SUM(L32:L35))</f>
        <v>814</v>
      </c>
      <c r="M36" s="348">
        <f>IF($C$34="Depreciation &amp; Amortization (incl. in SG&amp;A)",M30+SUM(M32:M33,M35),M30+SUM(M32:M35))</f>
        <v>846</v>
      </c>
      <c r="N36" s="348">
        <f>IF($C$34="Depreciation &amp; Amortization (incl. in SG&amp;A)",N30+SUM(N32:N33,N35),N30+SUM(N32:N35))</f>
        <v>803</v>
      </c>
      <c r="O36" s="275">
        <f>SUM(K36:N36)</f>
        <v>3196</v>
      </c>
      <c r="P36" s="348">
        <f>IF($C$34="Depreciation &amp; Amortization (incl. in SG&amp;A)",P30+SUM(P32:P33,P35),P30+SUM(P32:P35))</f>
        <v>804</v>
      </c>
      <c r="Q36" s="348">
        <f>IF($C$34="Depreciation &amp; Amortization (incl. in SG&amp;A)",Q30+SUM(Q32:Q33,Q35),Q30+SUM(Q32:Q35))</f>
        <v>861</v>
      </c>
      <c r="R36" s="348">
        <f>IF($C$34="Depreciation &amp; Amortization (incl. in SG&amp;A)",R30+SUM(R32:R33,R35),R30+SUM(R32:R35))</f>
        <v>836</v>
      </c>
      <c r="S36" s="348">
        <f>IF($C$34="Depreciation &amp; Amortization (incl. in SG&amp;A)",S30+SUM(S32:S33,S35),S30+SUM(S32:S35))</f>
        <v>800</v>
      </c>
      <c r="T36" s="275">
        <f>SUM(P36:S36)</f>
        <v>3301</v>
      </c>
      <c r="U36" s="348">
        <f>IF($C$34="Depreciation &amp; Amortization (incl. in SG&amp;A)",U30+SUM(U32:U33,U35),U30+SUM(U32:U35))</f>
        <v>4152.631</v>
      </c>
      <c r="V36" s="348">
        <f>IF($C$34="Depreciation &amp; Amortization (incl. in SG&amp;A)",V30+SUM(V32:V33,V35),V30+SUM(V32:V35))</f>
        <v>4379.486</v>
      </c>
      <c r="W36" s="348">
        <f>IF($C$34="Depreciation &amp; Amortization (incl. in SG&amp;A)",W30+SUM(W32:W33,W35),W30+SUM(W32:W35))</f>
        <v>4358.186</v>
      </c>
      <c r="X36" s="349">
        <f>IF(Cover!$F$37="Bottom Up",'Segment Analysis'!X34,IF($C$34="Depreciation &amp; Amortization (incl. in SG&amp;A)",X30+SUM(X32:X33,X35),X30+SUM(X32:X35)))</f>
        <v>893.9576914541115</v>
      </c>
      <c r="Y36" s="275">
        <f>SUM(U36:X36)</f>
        <v>3829.260691454111</v>
      </c>
      <c r="Z36" s="274">
        <f>IF(Cover!$F$37="Bottom Up",'Segment Analysis'!Z34,IF($C$34="Depreciation &amp; Amortization (incl. in SG&amp;A)",Z30+SUM(Z32:Z33,Z35),Z30+SUM(Z32:Z35)))</f>
        <v>887.6835145126602</v>
      </c>
      <c r="AA36" s="274">
        <f>IF(Cover!$F$37="Bottom Up",'Segment Analysis'!AA34,IF($C$34="Depreciation &amp; Amortization (incl. in SG&amp;A)",AA30+SUM(AA32:AA33,AA35),AA30+SUM(AA32:AA35)))</f>
        <v>974.753996620093</v>
      </c>
      <c r="AB36" s="274">
        <f>IF(Cover!$F$37="Bottom Up",'Segment Analysis'!AB34,IF($C$34="Depreciation &amp; Amortization (incl. in SG&amp;A)",AB30+SUM(AB32:AB33,AB35),AB30+SUM(AB32:AB35)))</f>
        <v>981.5941838323864</v>
      </c>
      <c r="AC36" s="274">
        <f>IF(Cover!$F$37="Bottom Up",'Segment Analysis'!AC34,IF($C$34="Depreciation &amp; Amortization (incl. in SG&amp;A)",AC30+SUM(AC32:AC33,AC35),AC30+SUM(AC32:AC35)))</f>
        <v>950.484156482478</v>
      </c>
      <c r="AD36" s="275">
        <f>SUM(Z36:AC36)</f>
        <v>3794.515851447618</v>
      </c>
      <c r="AE36" s="275">
        <f>IF(Cover!$F$37="Bottom Up",'Segment Analysis'!AE34,IF($C$34="Depreciation &amp; Amortization (incl. in SG&amp;A)",AE30+SUM(AE32:AE33,AE35),AE30+SUM(AE32:AE35)))</f>
        <v>4153.313493716915</v>
      </c>
      <c r="AF36" s="275">
        <f>IF(Cover!$F$37="Bottom Up",'Segment Analysis'!AF34,IF($C$34="Depreciation &amp; Amortization (incl. in SG&amp;A)",AF30+SUM(AF32:AF33,AF35),AF30+SUM(AF32:AF35)))</f>
        <v>4316.982078703026</v>
      </c>
      <c r="AG36" s="275">
        <f>IF(Cover!$F$37="Bottom Up",'Segment Analysis'!AG34,IF($C$34="Depreciation &amp; Amortization (incl. in SG&amp;A)",AG30+SUM(AG32:AG33,AG35),AG30+SUM(AG32:AG35)))</f>
        <v>4540.36069511936</v>
      </c>
      <c r="AH36" s="8">
        <f>AG36/AG30</f>
        <v>0.5090589406118964</v>
      </c>
      <c r="AI36" s="365"/>
      <c r="AJ36" s="8"/>
      <c r="AK36" s="8"/>
    </row>
    <row r="37" ht="13.5" customHeight="1" spans="1:37" x14ac:dyDescent="0.25">
      <c r="A37" s="257"/>
      <c r="B37" s="8"/>
      <c r="C37" s="130"/>
      <c r="D37" s="8"/>
      <c r="E37" s="8"/>
      <c r="F37" s="354"/>
      <c r="G37" s="354"/>
      <c r="H37" s="354"/>
      <c r="I37" s="354"/>
      <c r="J37" s="8"/>
      <c r="K37" s="354"/>
      <c r="L37" s="354"/>
      <c r="M37" s="354"/>
      <c r="N37" s="354"/>
      <c r="O37" s="8"/>
      <c r="P37" s="354"/>
      <c r="Q37" s="354"/>
      <c r="R37" s="354"/>
      <c r="S37" s="354"/>
      <c r="T37" s="8"/>
      <c r="U37" s="354"/>
      <c r="V37" s="354"/>
      <c r="W37" s="354"/>
      <c r="X37" s="366"/>
      <c r="Y37" s="8"/>
      <c r="Z37" s="367"/>
      <c r="AA37" s="367"/>
      <c r="AB37" s="367"/>
      <c r="AC37" s="367"/>
      <c r="AD37" s="8"/>
      <c r="AE37" s="8"/>
      <c r="AF37" s="8"/>
      <c r="AG37" s="8"/>
      <c r="AH37" s="8"/>
      <c r="AI37" s="8"/>
      <c r="AJ37" s="8"/>
      <c r="AK37" s="8"/>
    </row>
    <row r="38" ht="13.5" customHeight="1" spans="1:37" x14ac:dyDescent="0.25">
      <c r="A38" s="257"/>
      <c r="B38" s="8"/>
      <c r="C38" s="130" t="s">
        <v>274</v>
      </c>
      <c r="D38" s="8"/>
      <c r="E38" s="8"/>
      <c r="F38" s="356">
        <v>1.4</v>
      </c>
      <c r="G38" s="356">
        <v>1.6</v>
      </c>
      <c r="H38" s="356">
        <v>2</v>
      </c>
      <c r="I38" s="356">
        <v>1</v>
      </c>
      <c r="J38" s="153">
        <f>SUM(F38:I38)</f>
        <v>6</v>
      </c>
      <c r="K38" s="356">
        <v>1</v>
      </c>
      <c r="L38" s="356">
        <v>1</v>
      </c>
      <c r="M38" s="356">
        <v>4</v>
      </c>
      <c r="N38" s="356">
        <v>2</v>
      </c>
      <c r="O38" s="153">
        <f>SUM(K38:N38)</f>
        <v>8</v>
      </c>
      <c r="P38" s="356">
        <v>2</v>
      </c>
      <c r="Q38" s="356">
        <v>2</v>
      </c>
      <c r="R38" s="356">
        <v>2</v>
      </c>
      <c r="S38" s="356">
        <v>2</v>
      </c>
      <c r="T38" s="153">
        <f>SUM(P38:S38)</f>
        <v>8</v>
      </c>
      <c r="U38" s="356"/>
      <c r="V38" s="356"/>
      <c r="W38" s="356"/>
      <c r="X38" s="357">
        <f>X332</f>
        <v>0</v>
      </c>
      <c r="Y38" s="153">
        <f>SUM(U38:X38)</f>
        <v>0</v>
      </c>
      <c r="Z38" s="358">
        <f>Z332</f>
        <v>0</v>
      </c>
      <c r="AA38" s="358">
        <f>AA332</f>
        <v>0</v>
      </c>
      <c r="AB38" s="358">
        <f>AB332</f>
        <v>0</v>
      </c>
      <c r="AC38" s="358">
        <f>AC332</f>
        <v>0</v>
      </c>
      <c r="AD38" s="153">
        <f>SUM(Z38:AC38)</f>
        <v>0</v>
      </c>
      <c r="AE38" s="153">
        <f>AE332</f>
        <v>0</v>
      </c>
      <c r="AF38" s="153">
        <f>AF332</f>
        <v>0</v>
      </c>
      <c r="AG38" s="153">
        <f>AG332</f>
        <v>0</v>
      </c>
      <c r="AH38" s="8"/>
      <c r="AI38" s="8"/>
      <c r="AJ38" s="8"/>
      <c r="AK38" s="8"/>
    </row>
    <row r="39" ht="13.5" customHeight="1" spans="1:37" x14ac:dyDescent="0.25">
      <c r="A39" s="257"/>
      <c r="B39" s="8"/>
      <c r="C39" s="130" t="s">
        <v>275</v>
      </c>
      <c r="D39" s="8"/>
      <c r="E39" s="8"/>
      <c r="F39" s="356"/>
      <c r="G39" s="356"/>
      <c r="H39" s="356"/>
      <c r="I39" s="356"/>
      <c r="J39" s="153">
        <f>SUM(F39:I39)</f>
        <v>0</v>
      </c>
      <c r="K39" s="356"/>
      <c r="L39" s="356"/>
      <c r="M39" s="356"/>
      <c r="N39" s="356"/>
      <c r="O39" s="153">
        <f>SUM(K39:N39)</f>
        <v>0</v>
      </c>
      <c r="P39" s="356"/>
      <c r="Q39" s="356"/>
      <c r="R39" s="356"/>
      <c r="S39" s="356"/>
      <c r="T39" s="153">
        <f>SUM(P39:S39)</f>
        <v>0</v>
      </c>
      <c r="U39" s="356"/>
      <c r="V39" s="356"/>
      <c r="W39" s="356"/>
      <c r="X39" s="357">
        <f>X325</f>
        <v>-1.2249999999999999</v>
      </c>
      <c r="Y39" s="153">
        <f>SUM(U39:X39)</f>
        <v>-1.2249999999999999</v>
      </c>
      <c r="Z39" s="358">
        <f>Z325</f>
        <v>-2.5</v>
      </c>
      <c r="AA39" s="358">
        <f>AA325</f>
        <v>0.5</v>
      </c>
      <c r="AB39" s="358">
        <f>AB325</f>
        <v>6.5</v>
      </c>
      <c r="AC39" s="358">
        <f>AC325</f>
        <v>12.5</v>
      </c>
      <c r="AD39" s="153">
        <f>SUM(Z39:AC39)</f>
        <v>17</v>
      </c>
      <c r="AE39" s="153">
        <f>AE325</f>
        <v>62</v>
      </c>
      <c r="AF39" s="153">
        <f>AF325</f>
        <v>74</v>
      </c>
      <c r="AG39" s="153">
        <f>AG325</f>
        <v>98</v>
      </c>
      <c r="AH39" s="8"/>
      <c r="AI39" s="8"/>
      <c r="AJ39" s="8"/>
      <c r="AK39" s="8"/>
    </row>
    <row r="40" ht="13.5" customHeight="1" spans="1:37" x14ac:dyDescent="0.25">
      <c r="A40" s="257"/>
      <c r="B40" s="8"/>
      <c r="C40" s="130" t="s">
        <v>276</v>
      </c>
      <c r="D40" s="8"/>
      <c r="E40" s="8"/>
      <c r="F40" s="356"/>
      <c r="G40" s="356"/>
      <c r="H40" s="356"/>
      <c r="I40" s="356"/>
      <c r="J40" s="153">
        <f>SUM(F40:I40)</f>
        <v>0</v>
      </c>
      <c r="K40" s="356"/>
      <c r="L40" s="356"/>
      <c r="M40" s="356"/>
      <c r="N40" s="356"/>
      <c r="O40" s="153">
        <f>SUM(K40:N40)</f>
        <v>0</v>
      </c>
      <c r="P40" s="356"/>
      <c r="Q40" s="356"/>
      <c r="R40" s="356"/>
      <c r="S40" s="356"/>
      <c r="T40" s="153">
        <f>SUM(P40:S40)</f>
        <v>0</v>
      </c>
      <c r="U40" s="356"/>
      <c r="V40" s="356"/>
      <c r="W40" s="356"/>
      <c r="X40" s="368">
        <f>Drivers!X62</f>
        <v>0</v>
      </c>
      <c r="Y40" s="153">
        <f>SUM(U40:X40)</f>
        <v>0</v>
      </c>
      <c r="Z40" s="369">
        <f>Drivers!Z62</f>
        <v>0</v>
      </c>
      <c r="AA40" s="369">
        <f>Drivers!AA62</f>
        <v>0</v>
      </c>
      <c r="AB40" s="369">
        <f>Drivers!AB62</f>
        <v>0</v>
      </c>
      <c r="AC40" s="369">
        <f>Drivers!AC62</f>
        <v>0</v>
      </c>
      <c r="AD40" s="153">
        <f>SUM(Z40:AC40)</f>
        <v>0</v>
      </c>
      <c r="AE40" s="370">
        <f>Drivers!AE62</f>
        <v>0</v>
      </c>
      <c r="AF40" s="370">
        <f>Drivers!AF62</f>
        <v>0</v>
      </c>
      <c r="AG40" s="370">
        <f>Drivers!AG62</f>
        <v>0</v>
      </c>
      <c r="AH40" s="8"/>
      <c r="AI40" s="8"/>
      <c r="AJ40" s="8"/>
      <c r="AK40" s="8"/>
    </row>
    <row r="41" ht="13.5" customHeight="1" spans="1:37" x14ac:dyDescent="0.25">
      <c r="A41" s="257"/>
      <c r="B41" s="8"/>
      <c r="C41" s="130" t="s">
        <v>277</v>
      </c>
      <c r="D41" s="8"/>
      <c r="E41" s="8"/>
      <c r="F41" s="350">
        <v>2.5</v>
      </c>
      <c r="G41" s="350">
        <v>-0.6</v>
      </c>
      <c r="H41" s="350">
        <v>1.3</v>
      </c>
      <c r="I41" s="350">
        <v>3.8</v>
      </c>
      <c r="J41" s="351">
        <f>SUM(F41:I41)</f>
        <v>7</v>
      </c>
      <c r="K41" s="350">
        <v>13</v>
      </c>
      <c r="L41" s="350">
        <v>1</v>
      </c>
      <c r="M41" s="350">
        <v>10</v>
      </c>
      <c r="N41" s="350">
        <v>0</v>
      </c>
      <c r="O41" s="351">
        <f>SUM(K41:N41)</f>
        <v>24</v>
      </c>
      <c r="P41" s="350">
        <v>11</v>
      </c>
      <c r="Q41" s="350">
        <v>4</v>
      </c>
      <c r="R41" s="350">
        <v>7</v>
      </c>
      <c r="S41" s="350">
        <v>-1</v>
      </c>
      <c r="T41" s="351">
        <f>SUM(P41:S41)</f>
        <v>21</v>
      </c>
      <c r="U41" s="350"/>
      <c r="V41" s="350"/>
      <c r="W41" s="350"/>
      <c r="X41" s="352">
        <f>X72*X28</f>
        <v>-53.229785318999994</v>
      </c>
      <c r="Y41" s="351">
        <f>SUM(U41:X41)</f>
        <v>-53.229785318999994</v>
      </c>
      <c r="Z41" s="353">
        <f>Z72*Z28</f>
        <v>-47.945316858999995</v>
      </c>
      <c r="AA41" s="353">
        <f>AA72*AA28</f>
        <v>-50.526823226</v>
      </c>
      <c r="AB41" s="353">
        <f>AB72*AB28</f>
        <v>-50.31368209999999</v>
      </c>
      <c r="AC41" s="353">
        <f>AC72*AC28</f>
        <v>-49.749467151999994</v>
      </c>
      <c r="AD41" s="351">
        <f>SUM(Z41:AC41)</f>
        <v>-198.53528933699997</v>
      </c>
      <c r="AE41" s="351">
        <f>AE72*AE28</f>
        <v>-208.13924102148096</v>
      </c>
      <c r="AF41" s="351">
        <f>AF72*AF28</f>
        <v>-238.59279515137277</v>
      </c>
      <c r="AG41" s="351">
        <f>AG72*AG28</f>
        <v>-250.0689456910898</v>
      </c>
      <c r="AH41" s="8"/>
      <c r="AI41" s="8"/>
      <c r="AJ41" s="8"/>
      <c r="AK41" s="8"/>
    </row>
    <row r="42" ht="13.5" customHeight="1" spans="1:37" x14ac:dyDescent="0.25">
      <c r="A42" s="257"/>
      <c r="B42" s="8"/>
      <c r="C42" s="130" t="s">
        <v>278</v>
      </c>
      <c r="D42" s="8"/>
      <c r="E42" s="8"/>
      <c r="F42" s="348">
        <f>F36+SUM(F38:F41)</f>
        <v>647.9999999999999</v>
      </c>
      <c r="G42" s="348">
        <f>G36+SUM(G38:G41)</f>
        <v>708.1999999999998</v>
      </c>
      <c r="H42" s="348">
        <f>H36+SUM(H38:H41)</f>
        <v>731.0999999999999</v>
      </c>
      <c r="I42" s="348">
        <f>I36+SUM(I38:I41)</f>
        <v>705.6000000000001</v>
      </c>
      <c r="J42" s="275">
        <f>SUM(F42:I42)</f>
        <v>2792.8999999999996</v>
      </c>
      <c r="K42" s="348">
        <f>K36+SUM(K38:K41)</f>
        <v>747</v>
      </c>
      <c r="L42" s="348">
        <f>L36+SUM(L38:L41)</f>
        <v>816</v>
      </c>
      <c r="M42" s="348">
        <f>M36+SUM(M38:M41)</f>
        <v>860</v>
      </c>
      <c r="N42" s="348">
        <f>N36+SUM(N38:N41)</f>
        <v>805</v>
      </c>
      <c r="O42" s="275">
        <f>SUM(K42:N42)</f>
        <v>3228</v>
      </c>
      <c r="P42" s="348">
        <f>P36+SUM(P38:P41)</f>
        <v>817</v>
      </c>
      <c r="Q42" s="348">
        <f>Q36+SUM(Q38:Q41)</f>
        <v>867</v>
      </c>
      <c r="R42" s="348">
        <f>IF($C$8="On",R36+SUM(R38:R41),IF($C$8="off",R36+SUM(R40:R41),"N/A"))</f>
        <v>845</v>
      </c>
      <c r="S42" s="348">
        <f>IF($C$8="On",S36+SUM(S38:S41),IF($C$8="off",S36+SUM(S40:S41),"N/A"))</f>
        <v>801</v>
      </c>
      <c r="T42" s="275">
        <f>SUM(P42:S42)</f>
        <v>3330</v>
      </c>
      <c r="U42" s="348">
        <f>U36+SUM(U38:U41)</f>
        <v>4152.631</v>
      </c>
      <c r="V42" s="348">
        <f>V36+SUM(V38:V41)</f>
        <v>4379.486</v>
      </c>
      <c r="W42" s="348">
        <f>IF($C$8="On",W36+SUM(W38:W41),IF($C$8="off",W36+SUM(W40:W41),"N/A"))</f>
        <v>4358.186</v>
      </c>
      <c r="X42" s="349">
        <f>IF($C$8="On",X36+SUM(X38:X41),IF($C$8="off",X36+SUM(X40:X41),"N/A"))</f>
        <v>718.4435061351114</v>
      </c>
      <c r="Y42" s="275">
        <f>SUM(U42:X42)</f>
        <v>3182.7465061351113</v>
      </c>
      <c r="Z42" s="274">
        <f>IF($C$8="On",Z36+SUM(Z38:Z41),IF($C$8="off",Z36+SUM(Z40:Z41),"N/A"))</f>
        <v>713.7081976536601</v>
      </c>
      <c r="AA42" s="274">
        <f>IF($C$8="On",AA36+SUM(AA38:AA41),IF($C$8="off",AA36+SUM(AA40:AA41),"N/A"))</f>
        <v>801.1971733940929</v>
      </c>
      <c r="AB42" s="274">
        <f>IF($C$8="On",AB36+SUM(AB38:AB41),IF($C$8="off",AB36+SUM(AB40:AB41),"N/A"))</f>
        <v>814.2505017323864</v>
      </c>
      <c r="AC42" s="274">
        <f>IF($C$8="On",AC36+SUM(AC38:AC41),IF($C$8="off",AC36+SUM(AC40:AC41),"N/A"))</f>
        <v>789.704689330478</v>
      </c>
      <c r="AD42" s="275">
        <f>SUM(Z42:AC42)</f>
        <v>3118.860562110617</v>
      </c>
      <c r="AE42" s="275">
        <f>IF($C$8="On",AE36+SUM(AE38:AE41),IF($C$8="off",AE36+SUM(AE40:AE41),"N/A"))</f>
        <v>3513.054252695434</v>
      </c>
      <c r="AF42" s="275">
        <f>IF($C$8="On",AF36+SUM(AF38:AF41),IF($C$8="off",AF36+SUM(AF40:AF41),"N/A"))</f>
        <v>3658.2692835516527</v>
      </c>
      <c r="AG42" s="275">
        <f>IF($C$8="On",AG36+SUM(AG38:AG41),IF($C$8="off",AG36+SUM(AG40:AG41),"N/A"))</f>
        <v>3894.17174942827</v>
      </c>
      <c r="AH42" s="8"/>
      <c r="AI42" s="8"/>
      <c r="AJ42" s="8"/>
      <c r="AK42" s="8"/>
    </row>
    <row r="43" ht="13.5" customHeight="1" spans="1:37" x14ac:dyDescent="0.25">
      <c r="A43" s="257"/>
      <c r="B43" s="8"/>
      <c r="C43" s="130"/>
      <c r="D43" s="8"/>
      <c r="E43" s="8"/>
      <c r="F43" s="354"/>
      <c r="G43" s="354"/>
      <c r="H43" s="354"/>
      <c r="I43" s="354"/>
      <c r="J43" s="8"/>
      <c r="K43" s="354"/>
      <c r="L43" s="354"/>
      <c r="M43" s="354"/>
      <c r="N43" s="354"/>
      <c r="O43" s="8"/>
      <c r="P43" s="354"/>
      <c r="Q43" s="354"/>
      <c r="R43" s="354"/>
      <c r="S43" s="354"/>
      <c r="T43" s="8"/>
      <c r="U43" s="354"/>
      <c r="V43" s="354"/>
      <c r="W43" s="354"/>
      <c r="X43" s="366"/>
      <c r="Y43" s="8"/>
      <c r="Z43" s="367"/>
      <c r="AA43" s="367"/>
      <c r="AB43" s="367"/>
      <c r="AC43" s="367"/>
      <c r="AD43" s="8"/>
      <c r="AE43" s="8"/>
      <c r="AF43" s="8"/>
      <c r="AG43" s="8"/>
      <c r="AH43" s="8"/>
      <c r="AI43" s="8"/>
      <c r="AJ43" s="8"/>
      <c r="AK43" s="8"/>
    </row>
    <row r="44" ht="13.5" customHeight="1" spans="1:37" x14ac:dyDescent="0.25">
      <c r="A44" s="257"/>
      <c r="B44" s="8"/>
      <c r="C44" s="130" t="s">
        <v>279</v>
      </c>
      <c r="D44" s="8"/>
      <c r="E44" s="8"/>
      <c r="F44" s="350">
        <v>-264.1479999999999</v>
      </c>
      <c r="G44" s="350">
        <v>-280.8019999999998</v>
      </c>
      <c r="H44" s="350">
        <v>-250.93099999999993</v>
      </c>
      <c r="I44" s="350">
        <v>-266.03400000000016</v>
      </c>
      <c r="J44" s="351">
        <f>SUM(F44:I44)</f>
        <v>-1061.9149999999997</v>
      </c>
      <c r="K44" s="350">
        <v>-293.206</v>
      </c>
      <c r="L44" s="350">
        <v>-304.464</v>
      </c>
      <c r="M44" s="350">
        <v>-294.331</v>
      </c>
      <c r="N44" s="350">
        <v>-292.826</v>
      </c>
      <c r="O44" s="351">
        <f>SUM(K44:N44)</f>
        <v>-1184.8270000000002</v>
      </c>
      <c r="P44" s="350">
        <v>-322.004</v>
      </c>
      <c r="Q44" s="350">
        <v>-317.095</v>
      </c>
      <c r="R44" s="350">
        <v>-295.328</v>
      </c>
      <c r="S44" s="350">
        <v>-256.32399999999996</v>
      </c>
      <c r="T44" s="351">
        <f>SUM(P44:S44)</f>
        <v>-1190.751</v>
      </c>
      <c r="U44" s="350"/>
      <c r="V44" s="350"/>
      <c r="W44" s="350"/>
      <c r="X44" s="352">
        <f>-X73*X42</f>
        <v>-151.5915797945085</v>
      </c>
      <c r="Y44" s="351">
        <f>SUM(U44:X44)</f>
        <v>-586.5915797945086</v>
      </c>
      <c r="Z44" s="353">
        <f>-Z73*Z42</f>
        <v>-145.59647232134665</v>
      </c>
      <c r="AA44" s="353">
        <f>-AA73*AA42</f>
        <v>-163.60446280707376</v>
      </c>
      <c r="AB44" s="353">
        <f>-AB73*AB42</f>
        <v>-166.2699524537533</v>
      </c>
      <c r="AC44" s="353">
        <f>-AC73*AC42</f>
        <v>-161.2576975612836</v>
      </c>
      <c r="AD44" s="351">
        <f>SUM(Z44:AC44)</f>
        <v>-636.7285851434573</v>
      </c>
      <c r="AE44" s="351">
        <f>-AE73*AE42</f>
        <v>-709.6369590444777</v>
      </c>
      <c r="AF44" s="351">
        <f>-AF73*AF42</f>
        <v>-738.9703952774339</v>
      </c>
      <c r="AG44" s="351">
        <f>-AG73*AG42</f>
        <v>-786.6226933845105</v>
      </c>
      <c r="AH44" s="8"/>
      <c r="AI44" s="8"/>
      <c r="AJ44" s="8"/>
      <c r="AK44" s="8"/>
    </row>
    <row r="45" ht="13.5" customHeight="1" spans="1:37" x14ac:dyDescent="0.25">
      <c r="A45" s="257"/>
      <c r="B45" s="8"/>
      <c r="C45" s="130" t="s">
        <v>280</v>
      </c>
      <c r="D45" s="8"/>
      <c r="E45" s="8"/>
      <c r="F45" s="348">
        <f>F42+F44</f>
        <v>383.852</v>
      </c>
      <c r="G45" s="348">
        <f>G42+G44</f>
        <v>427.398</v>
      </c>
      <c r="H45" s="348">
        <f>H42+H44</f>
        <v>480.169</v>
      </c>
      <c r="I45" s="348">
        <f>I42+I44</f>
        <v>439.566</v>
      </c>
      <c r="J45" s="275">
        <f>SUM(F45:I45)</f>
        <v>1730.985</v>
      </c>
      <c r="K45" s="348">
        <f>K42+K44</f>
        <v>453.794</v>
      </c>
      <c r="L45" s="348">
        <f>L42+L44</f>
        <v>511.536</v>
      </c>
      <c r="M45" s="348">
        <f>M42+M44</f>
        <v>565.669</v>
      </c>
      <c r="N45" s="348">
        <f>N42+N44</f>
        <v>512.174</v>
      </c>
      <c r="O45" s="275">
        <f>SUM(K45:N45)</f>
        <v>2043.1729999999998</v>
      </c>
      <c r="P45" s="348">
        <f>P42+P44</f>
        <v>494.996</v>
      </c>
      <c r="Q45" s="348">
        <f>Q42+Q44</f>
        <v>549.905</v>
      </c>
      <c r="R45" s="348">
        <f>R42+R44</f>
        <v>549.672</v>
      </c>
      <c r="S45" s="348">
        <f>S42+S44</f>
        <v>544.676</v>
      </c>
      <c r="T45" s="275">
        <f>SUM(P45:S45)</f>
        <v>2139.249</v>
      </c>
      <c r="U45" s="348">
        <f>U42+U44</f>
        <v>4152.631</v>
      </c>
      <c r="V45" s="348">
        <f>V42+V44</f>
        <v>4379.486</v>
      </c>
      <c r="W45" s="348">
        <f>W42+W44</f>
        <v>4358.186</v>
      </c>
      <c r="X45" s="349">
        <f>X42+X44</f>
        <v>566.8519263406029</v>
      </c>
      <c r="Y45" s="275">
        <f>SUM(U45:X45)</f>
        <v>2596.1549263406027</v>
      </c>
      <c r="Z45" s="274">
        <f>Z42+Z44</f>
        <v>568.1117253323134</v>
      </c>
      <c r="AA45" s="274">
        <f>AA42+AA44</f>
        <v>637.5927105870192</v>
      </c>
      <c r="AB45" s="274">
        <f>AB42+AB44</f>
        <v>647.9805492786331</v>
      </c>
      <c r="AC45" s="274">
        <f>AC42+AC44</f>
        <v>628.4469917691944</v>
      </c>
      <c r="AD45" s="275">
        <f>SUM(Z45:AC45)</f>
        <v>2482.13197696716</v>
      </c>
      <c r="AE45" s="275">
        <f>AE42+AE44</f>
        <v>2803.4172936509563</v>
      </c>
      <c r="AF45" s="275">
        <f>AF42+AF44</f>
        <v>2919.298888274219</v>
      </c>
      <c r="AG45" s="275">
        <f>AG42+AG44</f>
        <v>3107.5490560437593</v>
      </c>
      <c r="AH45" s="8"/>
      <c r="AI45" s="8"/>
      <c r="AJ45" s="8"/>
      <c r="AK45" s="8"/>
    </row>
    <row r="46" ht="13.5" customHeight="1" spans="1:37" x14ac:dyDescent="0.25">
      <c r="A46" s="257"/>
      <c r="B46" s="8"/>
      <c r="C46" s="130"/>
      <c r="D46" s="8"/>
      <c r="E46" s="8"/>
      <c r="F46" s="371"/>
      <c r="G46" s="371"/>
      <c r="H46" s="371"/>
      <c r="I46" s="371"/>
      <c r="J46" s="8"/>
      <c r="K46" s="371"/>
      <c r="L46" s="371"/>
      <c r="M46" s="371"/>
      <c r="N46" s="371"/>
      <c r="O46" s="8"/>
      <c r="P46" s="371"/>
      <c r="Q46" s="371"/>
      <c r="R46" s="371"/>
      <c r="S46" s="371"/>
      <c r="T46" s="8"/>
      <c r="U46" s="371"/>
      <c r="V46" s="371"/>
      <c r="W46" s="371"/>
      <c r="X46" s="372"/>
      <c r="Y46" s="8"/>
      <c r="Z46" s="373"/>
      <c r="AA46" s="373"/>
      <c r="AB46" s="373"/>
      <c r="AC46" s="373"/>
      <c r="AD46" s="8"/>
      <c r="AE46" s="8"/>
      <c r="AF46" s="8"/>
      <c r="AG46" s="8"/>
      <c r="AH46" s="8"/>
      <c r="AI46" s="8"/>
      <c r="AJ46" s="8"/>
      <c r="AK46" s="8"/>
    </row>
    <row r="47" ht="13.5" customHeight="1" spans="1:37" x14ac:dyDescent="0.25">
      <c r="A47" s="257"/>
      <c r="B47" s="8"/>
      <c r="C47" s="130" t="s">
        <v>281</v>
      </c>
      <c r="D47" s="8"/>
      <c r="E47" s="8"/>
      <c r="F47" s="356"/>
      <c r="G47" s="356"/>
      <c r="H47" s="356"/>
      <c r="I47" s="356"/>
      <c r="J47" s="153">
        <f>SUM(F47:I47)</f>
        <v>0</v>
      </c>
      <c r="K47" s="356"/>
      <c r="L47" s="356"/>
      <c r="M47" s="356"/>
      <c r="N47" s="356"/>
      <c r="O47" s="153">
        <f>SUM(K47:N47)</f>
        <v>0</v>
      </c>
      <c r="P47" s="356"/>
      <c r="Q47" s="356"/>
      <c r="R47" s="356"/>
      <c r="S47" s="356"/>
      <c r="T47" s="153">
        <f>SUM(P47:S47)</f>
        <v>0</v>
      </c>
      <c r="U47" s="374"/>
      <c r="V47" s="374"/>
      <c r="W47" s="356"/>
      <c r="X47" s="375">
        <v>0</v>
      </c>
      <c r="Y47" s="153">
        <f>SUM(U47:X47)</f>
        <v>0</v>
      </c>
      <c r="Z47" s="375">
        <v>0</v>
      </c>
      <c r="AA47" s="375">
        <v>0</v>
      </c>
      <c r="AB47" s="375">
        <v>0</v>
      </c>
      <c r="AC47" s="375">
        <v>0</v>
      </c>
      <c r="AD47" s="360">
        <v>0</v>
      </c>
      <c r="AE47" s="360">
        <v>0</v>
      </c>
      <c r="AF47" s="360">
        <v>0</v>
      </c>
      <c r="AG47" s="360">
        <v>0</v>
      </c>
      <c r="AH47" s="8"/>
      <c r="AI47" s="8"/>
      <c r="AJ47" s="8"/>
      <c r="AK47" s="8"/>
    </row>
    <row r="48" ht="13.5" customHeight="1" spans="1:37" x14ac:dyDescent="0.25">
      <c r="A48" s="257"/>
      <c r="B48" s="8"/>
      <c r="C48" s="130" t="s">
        <v>282</v>
      </c>
      <c r="D48" s="8"/>
      <c r="E48" s="8"/>
      <c r="F48" s="356"/>
      <c r="G48" s="356"/>
      <c r="H48" s="356"/>
      <c r="I48" s="356"/>
      <c r="J48" s="153">
        <f>SUM(F48:I48)</f>
        <v>0</v>
      </c>
      <c r="K48" s="356"/>
      <c r="L48" s="356"/>
      <c r="M48" s="356"/>
      <c r="N48" s="356"/>
      <c r="O48" s="153">
        <f>SUM(K48:N48)</f>
        <v>0</v>
      </c>
      <c r="P48" s="356"/>
      <c r="Q48" s="356"/>
      <c r="R48" s="356"/>
      <c r="S48" s="356"/>
      <c r="T48" s="153">
        <f>SUM(P48:S48)</f>
        <v>0</v>
      </c>
      <c r="U48" s="356"/>
      <c r="V48" s="356"/>
      <c r="W48" s="356"/>
      <c r="X48" s="376">
        <v>0</v>
      </c>
      <c r="Y48" s="153">
        <f>SUM(U48:X48)</f>
        <v>0</v>
      </c>
      <c r="Z48" s="377">
        <v>0</v>
      </c>
      <c r="AA48" s="377">
        <v>0</v>
      </c>
      <c r="AB48" s="377">
        <v>0</v>
      </c>
      <c r="AC48" s="377">
        <v>0</v>
      </c>
      <c r="AD48" s="153">
        <f>SUM(Z48:AC48)</f>
        <v>0</v>
      </c>
      <c r="AE48" s="360">
        <v>0</v>
      </c>
      <c r="AF48" s="360">
        <v>0</v>
      </c>
      <c r="AG48" s="360">
        <v>0</v>
      </c>
      <c r="AH48" s="8"/>
      <c r="AI48" s="8"/>
      <c r="AJ48" s="8"/>
      <c r="AK48" s="8"/>
    </row>
    <row r="49" ht="13.5" customHeight="1" spans="1:37" x14ac:dyDescent="0.25">
      <c r="A49" s="257"/>
      <c r="B49" s="8"/>
      <c r="C49" s="130" t="s">
        <v>283</v>
      </c>
      <c r="D49" s="8"/>
      <c r="E49" s="8"/>
      <c r="F49" s="356">
        <v>0</v>
      </c>
      <c r="G49" s="356">
        <v>0</v>
      </c>
      <c r="H49" s="356">
        <v>0</v>
      </c>
      <c r="I49" s="356">
        <v>0</v>
      </c>
      <c r="J49" s="153">
        <f>SUM(F49:I49)</f>
        <v>0</v>
      </c>
      <c r="K49" s="356">
        <v>0</v>
      </c>
      <c r="L49" s="356">
        <v>0</v>
      </c>
      <c r="M49" s="356">
        <v>0</v>
      </c>
      <c r="N49" s="356">
        <v>0</v>
      </c>
      <c r="O49" s="153">
        <f>SUM(K49:N49)</f>
        <v>0</v>
      </c>
      <c r="P49" s="356"/>
      <c r="Q49" s="356"/>
      <c r="R49" s="356"/>
      <c r="S49" s="356"/>
      <c r="T49" s="153">
        <f>SUM(P49:S49)</f>
        <v>0</v>
      </c>
      <c r="U49" s="356"/>
      <c r="V49" s="356"/>
      <c r="W49" s="356"/>
      <c r="X49" s="376">
        <v>0</v>
      </c>
      <c r="Y49" s="153">
        <f>SUM(U49:X49)</f>
        <v>0</v>
      </c>
      <c r="Z49" s="377">
        <v>0</v>
      </c>
      <c r="AA49" s="377">
        <v>0</v>
      </c>
      <c r="AB49" s="377">
        <v>0</v>
      </c>
      <c r="AC49" s="377">
        <v>0</v>
      </c>
      <c r="AD49" s="153">
        <f>SUM(Z49:AC49)</f>
        <v>0</v>
      </c>
      <c r="AE49" s="360">
        <v>0</v>
      </c>
      <c r="AF49" s="360">
        <v>0</v>
      </c>
      <c r="AG49" s="360">
        <v>0</v>
      </c>
      <c r="AH49" s="8"/>
      <c r="AI49" s="8"/>
      <c r="AJ49" s="8"/>
      <c r="AK49" s="8"/>
    </row>
    <row r="50" ht="13.5" customHeight="1" spans="1:37" x14ac:dyDescent="0.25">
      <c r="A50" s="257"/>
      <c r="B50" s="8"/>
      <c r="C50" s="130" t="s">
        <v>284</v>
      </c>
      <c r="D50" s="8"/>
      <c r="E50" s="8"/>
      <c r="F50" s="350"/>
      <c r="G50" s="350"/>
      <c r="H50" s="350"/>
      <c r="I50" s="350"/>
      <c r="J50" s="351">
        <f>SUM(F50:I50)</f>
        <v>0</v>
      </c>
      <c r="K50" s="350"/>
      <c r="L50" s="350"/>
      <c r="M50" s="350"/>
      <c r="N50" s="350"/>
      <c r="O50" s="351">
        <f>SUM(K50:N50)</f>
        <v>0</v>
      </c>
      <c r="P50" s="356"/>
      <c r="Q50" s="356"/>
      <c r="R50" s="356"/>
      <c r="S50" s="356"/>
      <c r="T50" s="351">
        <f>SUM(P50:S50)</f>
        <v>0</v>
      </c>
      <c r="U50" s="350"/>
      <c r="V50" s="350"/>
      <c r="W50" s="350"/>
      <c r="X50" s="378">
        <v>0</v>
      </c>
      <c r="Y50" s="351">
        <f>SUM(U50:X50)</f>
        <v>0</v>
      </c>
      <c r="Z50" s="379">
        <v>0</v>
      </c>
      <c r="AA50" s="379">
        <v>0</v>
      </c>
      <c r="AB50" s="379">
        <v>0</v>
      </c>
      <c r="AC50" s="379">
        <v>0</v>
      </c>
      <c r="AD50" s="351">
        <f>SUM(Z50:AC50)</f>
        <v>0</v>
      </c>
      <c r="AE50" s="380">
        <v>0</v>
      </c>
      <c r="AF50" s="380">
        <v>0</v>
      </c>
      <c r="AG50" s="380">
        <v>0</v>
      </c>
      <c r="AH50" s="8"/>
      <c r="AI50" s="8"/>
      <c r="AJ50" s="8"/>
      <c r="AK50" s="8"/>
    </row>
    <row r="51" ht="13.5" customHeight="1" spans="1:37" x14ac:dyDescent="0.25">
      <c r="A51" s="257"/>
      <c r="B51" s="8"/>
      <c r="C51" s="130" t="s">
        <v>285</v>
      </c>
      <c r="D51" s="8"/>
      <c r="E51" s="8"/>
      <c r="F51" s="348">
        <f>SUM(F45:F50)</f>
        <v>383.852</v>
      </c>
      <c r="G51" s="348">
        <f>SUM(G45:G50)</f>
        <v>427.398</v>
      </c>
      <c r="H51" s="348">
        <f>SUM(H45:H50)</f>
        <v>480.169</v>
      </c>
      <c r="I51" s="348">
        <f>SUM(I45:I50)</f>
        <v>439.566</v>
      </c>
      <c r="J51" s="275">
        <f>SUM(F51:I51)</f>
        <v>1730.985</v>
      </c>
      <c r="K51" s="348">
        <f>SUM(K45:K50)</f>
        <v>453.794</v>
      </c>
      <c r="L51" s="348">
        <f>SUM(L45:L50)</f>
        <v>511.536</v>
      </c>
      <c r="M51" s="348">
        <f>SUM(M45:M50)</f>
        <v>565.669</v>
      </c>
      <c r="N51" s="348">
        <f>SUM(N45:N50)</f>
        <v>512.174</v>
      </c>
      <c r="O51" s="275">
        <f>SUM(K51:N51)</f>
        <v>2043.1729999999998</v>
      </c>
      <c r="P51" s="348">
        <f>SUM(P45:P50)</f>
        <v>494.996</v>
      </c>
      <c r="Q51" s="348">
        <f>SUM(Q45:Q50)</f>
        <v>549.905</v>
      </c>
      <c r="R51" s="348">
        <f>SUM(R45:R50)</f>
        <v>549.672</v>
      </c>
      <c r="S51" s="348">
        <f>SUM(S45:S50)</f>
        <v>544.676</v>
      </c>
      <c r="T51" s="275">
        <f>SUM(P51:S51)</f>
        <v>2139.249</v>
      </c>
      <c r="U51" s="348">
        <f>SUM(U45:U50)</f>
        <v>4152.631</v>
      </c>
      <c r="V51" s="348">
        <f>SUM(V45:V50)</f>
        <v>4379.486</v>
      </c>
      <c r="W51" s="348">
        <f>SUM(W45:W50)</f>
        <v>4358.186</v>
      </c>
      <c r="X51" s="349">
        <f>SUM(X45:X50)</f>
        <v>566.8519263406029</v>
      </c>
      <c r="Y51" s="275">
        <f>SUM(U51:X51)</f>
        <v>2596.1549263406027</v>
      </c>
      <c r="Z51" s="274">
        <f>SUM(Z45:Z50)</f>
        <v>568.1117253323134</v>
      </c>
      <c r="AA51" s="274">
        <f>SUM(AA45:AA50)</f>
        <v>637.5927105870192</v>
      </c>
      <c r="AB51" s="274">
        <f>SUM(AB45:AB50)</f>
        <v>647.9805492786331</v>
      </c>
      <c r="AC51" s="274">
        <f>SUM(AC45:AC50)</f>
        <v>628.4469917691944</v>
      </c>
      <c r="AD51" s="275">
        <f>SUM(Z51:AC51)</f>
        <v>2482.13197696716</v>
      </c>
      <c r="AE51" s="275">
        <f>SUM(AE45:AE50)</f>
        <v>2803.4172936509563</v>
      </c>
      <c r="AF51" s="275">
        <f>SUM(AF45:AF50)</f>
        <v>2919.298888274219</v>
      </c>
      <c r="AG51" s="275">
        <f>SUM(AG45:AG50)</f>
        <v>3107.5490560437593</v>
      </c>
      <c r="AH51" s="8"/>
      <c r="AI51" s="8"/>
      <c r="AJ51" s="8"/>
      <c r="AK51" s="8"/>
    </row>
    <row r="52" ht="13.5" customHeight="1" spans="1:37" x14ac:dyDescent="0.25">
      <c r="A52" s="257"/>
      <c r="B52" s="8"/>
      <c r="C52" s="130"/>
      <c r="D52" s="8"/>
      <c r="E52" s="8"/>
      <c r="F52" s="381"/>
      <c r="G52" s="308"/>
      <c r="H52" s="308"/>
      <c r="I52" s="308"/>
      <c r="J52" s="8"/>
      <c r="K52" s="381"/>
      <c r="L52" s="308"/>
      <c r="M52" s="308"/>
      <c r="N52" s="308"/>
      <c r="O52" s="8"/>
      <c r="P52" s="308"/>
      <c r="Q52" s="308"/>
      <c r="R52" s="308"/>
      <c r="S52" s="308"/>
      <c r="T52" s="8"/>
      <c r="U52" s="308"/>
      <c r="V52" s="308"/>
      <c r="W52" s="308"/>
      <c r="X52" s="355"/>
      <c r="Y52" s="8"/>
      <c r="Z52" s="309"/>
      <c r="AA52" s="309"/>
      <c r="AB52" s="309"/>
      <c r="AC52" s="309"/>
      <c r="AD52" s="8"/>
      <c r="AE52" s="8"/>
      <c r="AF52" s="8"/>
      <c r="AG52" s="8"/>
      <c r="AH52" s="8"/>
      <c r="AI52" s="8"/>
      <c r="AJ52" s="8"/>
      <c r="AK52" s="8"/>
    </row>
    <row r="53" ht="13.5" customHeight="1" spans="1:37" x14ac:dyDescent="0.25">
      <c r="A53" s="257"/>
      <c r="B53" s="8"/>
      <c r="C53" s="130" t="s">
        <v>286</v>
      </c>
      <c r="D53" s="8"/>
      <c r="E53" s="8"/>
      <c r="F53" s="381" t="e">
        <f>(F45)/F285</f>
        <v>#DIV/0!</v>
      </c>
      <c r="G53" s="381" t="e">
        <f>(G45)/G285</f>
        <v>#DIV/0!</v>
      </c>
      <c r="H53" s="381" t="e">
        <f>(H45)/H285</f>
        <v>#DIV/0!</v>
      </c>
      <c r="I53" s="381" t="e">
        <f>(I45)/I285</f>
        <v>#DIV/0!</v>
      </c>
      <c r="J53" s="118" t="e">
        <f>J45/J285</f>
        <v>#DIV/0!</v>
      </c>
      <c r="K53" s="381" t="e">
        <f>(K45)/K285</f>
        <v>#DIV/0!</v>
      </c>
      <c r="L53" s="381" t="e">
        <f>(L45)/L285</f>
        <v>#DIV/0!</v>
      </c>
      <c r="M53" s="381" t="e">
        <f>(M45)/M285</f>
        <v>#DIV/0!</v>
      </c>
      <c r="N53" s="381" t="e">
        <f>(N45)/N285</f>
        <v>#DIV/0!</v>
      </c>
      <c r="O53" s="118" t="e">
        <f>O45/O285</f>
        <v>#DIV/0!</v>
      </c>
      <c r="P53" s="381" t="e">
        <f>(P45)/P285</f>
        <v>#DIV/0!</v>
      </c>
      <c r="Q53" s="381" t="e">
        <f>(Q45)/Q285</f>
        <v>#DIV/0!</v>
      </c>
      <c r="R53" s="381" t="e">
        <f>(R45)/R285</f>
        <v>#DIV/0!</v>
      </c>
      <c r="S53" s="381" t="e">
        <f>(S45)/S285</f>
        <v>#DIV/0!</v>
      </c>
      <c r="T53" s="118" t="e">
        <f>T45/T285</f>
        <v>#DIV/0!</v>
      </c>
      <c r="U53" s="381" t="e">
        <f>(U45)/U285</f>
        <v>#DIV/0!</v>
      </c>
      <c r="V53" s="381" t="e">
        <f>(V45)/V285</f>
        <v>#DIV/0!</v>
      </c>
      <c r="W53" s="381" t="e">
        <f>(W45)/W285</f>
        <v>#DIV/0!</v>
      </c>
      <c r="X53" s="382">
        <f t="shared" ref="X53:AG53" si="2">X45/X285</f>
        <v>1.816833097245522</v>
      </c>
      <c r="Y53" s="118">
        <f t="shared" si="2"/>
        <v>8.307031201793784</v>
      </c>
      <c r="Z53" s="383">
        <f t="shared" si="2"/>
        <v>1.829587765453529</v>
      </c>
      <c r="AA53" s="383">
        <f t="shared" si="2"/>
        <v>2.063226368000674</v>
      </c>
      <c r="AB53" s="383">
        <f t="shared" si="2"/>
        <v>2.0968410288008945</v>
      </c>
      <c r="AC53" s="383">
        <f t="shared" si="2"/>
        <v>2.033631161051267</v>
      </c>
      <c r="AD53" s="118">
        <f t="shared" si="2"/>
        <v>8.022439618945636</v>
      </c>
      <c r="AE53" s="118">
        <f t="shared" si="2"/>
        <v>9.111962549740369</v>
      </c>
      <c r="AF53" s="118">
        <f t="shared" si="2"/>
        <v>9.57704587015528</v>
      </c>
      <c r="AG53" s="118">
        <f t="shared" si="2"/>
        <v>10.293342471067035</v>
      </c>
      <c r="AH53" s="8"/>
      <c r="AI53" s="8"/>
      <c r="AJ53" s="8"/>
      <c r="AK53" s="8"/>
    </row>
    <row r="54" ht="13.5" customHeight="1" spans="1:37" x14ac:dyDescent="0.25">
      <c r="A54" s="257"/>
      <c r="B54" s="8"/>
      <c r="C54" s="130" t="s">
        <v>287</v>
      </c>
      <c r="D54" s="8"/>
      <c r="E54" s="8"/>
      <c r="F54" s="381" t="e">
        <f>(F45)/F287</f>
        <v>#DIV/0!</v>
      </c>
      <c r="G54" s="381" t="e">
        <f>(G45)/G287</f>
        <v>#DIV/0!</v>
      </c>
      <c r="H54" s="381" t="e">
        <f>(H45)/H287</f>
        <v>#DIV/0!</v>
      </c>
      <c r="I54" s="381" t="e">
        <f>(I45)/I287</f>
        <v>#DIV/0!</v>
      </c>
      <c r="J54" s="118" t="e">
        <f>J45/J287</f>
        <v>#DIV/0!</v>
      </c>
      <c r="K54" s="381" t="e">
        <f>(K45)/K287</f>
        <v>#DIV/0!</v>
      </c>
      <c r="L54" s="381" t="e">
        <f>(L45)/L287</f>
        <v>#DIV/0!</v>
      </c>
      <c r="M54" s="381" t="e">
        <f>(M45)/M287</f>
        <v>#DIV/0!</v>
      </c>
      <c r="N54" s="381" t="e">
        <f>(N45)/N287</f>
        <v>#DIV/0!</v>
      </c>
      <c r="O54" s="118" t="e">
        <f>O45/O287</f>
        <v>#DIV/0!</v>
      </c>
      <c r="P54" s="381" t="e">
        <f>(P45)/P287</f>
        <v>#DIV/0!</v>
      </c>
      <c r="Q54" s="381" t="e">
        <f>(Q45)/Q287</f>
        <v>#DIV/0!</v>
      </c>
      <c r="R54" s="381" t="e">
        <f>(R45)/R287</f>
        <v>#DIV/0!</v>
      </c>
      <c r="S54" s="381" t="e">
        <f>(S45)/S287</f>
        <v>#DIV/0!</v>
      </c>
      <c r="T54" s="118" t="e">
        <f>T45/T287</f>
        <v>#DIV/0!</v>
      </c>
      <c r="U54" s="381" t="e">
        <f>(U45)/U287</f>
        <v>#DIV/0!</v>
      </c>
      <c r="V54" s="381" t="e">
        <f>(V45)/V287</f>
        <v>#DIV/0!</v>
      </c>
      <c r="W54" s="381" t="e">
        <f>(W45)/W287</f>
        <v>#DIV/0!</v>
      </c>
      <c r="X54" s="382">
        <f t="shared" ref="X54:AG54" si="3">X45/X287</f>
        <v>1.8150878204950458</v>
      </c>
      <c r="Y54" s="118">
        <f t="shared" si="3"/>
        <v>8.301054920353646</v>
      </c>
      <c r="Z54" s="383">
        <f t="shared" si="3"/>
        <v>1.8278218308793484</v>
      </c>
      <c r="AA54" s="383">
        <f t="shared" si="3"/>
        <v>2.0612253533581804</v>
      </c>
      <c r="AB54" s="383">
        <f t="shared" si="3"/>
        <v>2.0948074130684247</v>
      </c>
      <c r="AC54" s="383">
        <f t="shared" si="3"/>
        <v>2.03165884924205</v>
      </c>
      <c r="AD54" s="118">
        <f t="shared" si="3"/>
        <v>8.014668413303683</v>
      </c>
      <c r="AE54" s="118">
        <f t="shared" si="3"/>
        <v>9.103086206487252</v>
      </c>
      <c r="AF54" s="118">
        <f t="shared" si="3"/>
        <v>9.567629606410177</v>
      </c>
      <c r="AG54" s="118">
        <f t="shared" si="3"/>
        <v>10.283124027331134</v>
      </c>
      <c r="AH54" s="8"/>
      <c r="AI54" s="8"/>
      <c r="AJ54" s="8"/>
      <c r="AK54" s="8"/>
    </row>
    <row r="55" ht="13.5" customHeight="1" spans="1:37" x14ac:dyDescent="0.25">
      <c r="A55" s="257"/>
      <c r="B55" s="8"/>
      <c r="C55" s="130"/>
      <c r="D55" s="8"/>
      <c r="E55" s="8"/>
      <c r="F55" s="381"/>
      <c r="G55" s="381"/>
      <c r="H55" s="381"/>
      <c r="I55" s="381"/>
      <c r="J55" s="118"/>
      <c r="K55" s="381"/>
      <c r="L55" s="381"/>
      <c r="M55" s="381"/>
      <c r="N55" s="381"/>
      <c r="O55" s="118"/>
      <c r="P55" s="381"/>
      <c r="Q55" s="381"/>
      <c r="R55" s="381"/>
      <c r="S55" s="381"/>
      <c r="T55" s="118"/>
      <c r="U55" s="381"/>
      <c r="V55" s="381"/>
      <c r="W55" s="381"/>
      <c r="X55" s="382"/>
      <c r="Y55" s="118"/>
      <c r="Z55" s="383"/>
      <c r="AA55" s="383"/>
      <c r="AB55" s="383"/>
      <c r="AC55" s="383"/>
      <c r="AD55" s="118"/>
      <c r="AE55" s="118"/>
      <c r="AF55" s="118"/>
      <c r="AG55" s="118"/>
      <c r="AH55" s="8"/>
      <c r="AI55" s="8"/>
      <c r="AJ55" s="8"/>
      <c r="AK55" s="8"/>
    </row>
    <row r="56" ht="13.5" customHeight="1" spans="1:37" x14ac:dyDescent="0.25">
      <c r="A56" s="257"/>
      <c r="B56" s="8"/>
      <c r="C56" s="130" t="s">
        <v>288</v>
      </c>
      <c r="D56" s="8"/>
      <c r="E56" s="8"/>
      <c r="F56" s="381" t="e">
        <f>F51/F285</f>
        <v>#DIV/0!</v>
      </c>
      <c r="G56" s="381" t="e">
        <f>G51/G285</f>
        <v>#DIV/0!</v>
      </c>
      <c r="H56" s="381" t="e">
        <f>H51/H285</f>
        <v>#DIV/0!</v>
      </c>
      <c r="I56" s="381" t="e">
        <f>I51/I285</f>
        <v>#DIV/0!</v>
      </c>
      <c r="J56" s="118" t="e">
        <f>J51/J285</f>
        <v>#DIV/0!</v>
      </c>
      <c r="K56" s="381" t="e">
        <f t="shared" ref="K56:AG56" si="4">K51/K285</f>
        <v>#DIV/0!</v>
      </c>
      <c r="L56" s="381" t="e">
        <f t="shared" si="4"/>
        <v>#DIV/0!</v>
      </c>
      <c r="M56" s="381" t="e">
        <f t="shared" si="4"/>
        <v>#DIV/0!</v>
      </c>
      <c r="N56" s="381" t="e">
        <f t="shared" si="4"/>
        <v>#DIV/0!</v>
      </c>
      <c r="O56" s="118" t="e">
        <f t="shared" si="4"/>
        <v>#DIV/0!</v>
      </c>
      <c r="P56" s="381" t="e">
        <f t="shared" si="4"/>
        <v>#DIV/0!</v>
      </c>
      <c r="Q56" s="381" t="e">
        <f t="shared" si="4"/>
        <v>#DIV/0!</v>
      </c>
      <c r="R56" s="381" t="e">
        <f t="shared" si="4"/>
        <v>#DIV/0!</v>
      </c>
      <c r="S56" s="381" t="e">
        <f t="shared" si="4"/>
        <v>#DIV/0!</v>
      </c>
      <c r="T56" s="118" t="e">
        <f t="shared" si="4"/>
        <v>#DIV/0!</v>
      </c>
      <c r="U56" s="381" t="e">
        <f t="shared" si="4"/>
        <v>#DIV/0!</v>
      </c>
      <c r="V56" s="381" t="e">
        <f t="shared" si="4"/>
        <v>#DIV/0!</v>
      </c>
      <c r="W56" s="381" t="e">
        <f t="shared" si="4"/>
        <v>#DIV/0!</v>
      </c>
      <c r="X56" s="382">
        <f t="shared" si="4"/>
        <v>1.816833097245522</v>
      </c>
      <c r="Y56" s="118">
        <f t="shared" si="4"/>
        <v>8.307031201793784</v>
      </c>
      <c r="Z56" s="383">
        <f t="shared" si="4"/>
        <v>1.829587765453529</v>
      </c>
      <c r="AA56" s="383">
        <f t="shared" si="4"/>
        <v>2.063226368000674</v>
      </c>
      <c r="AB56" s="383">
        <f t="shared" si="4"/>
        <v>2.0968410288008945</v>
      </c>
      <c r="AC56" s="383">
        <f t="shared" si="4"/>
        <v>2.033631161051267</v>
      </c>
      <c r="AD56" s="118">
        <f t="shared" si="4"/>
        <v>8.022439618945636</v>
      </c>
      <c r="AE56" s="118">
        <f t="shared" si="4"/>
        <v>9.111962549740369</v>
      </c>
      <c r="AF56" s="118">
        <f t="shared" si="4"/>
        <v>9.57704587015528</v>
      </c>
      <c r="AG56" s="118">
        <f t="shared" si="4"/>
        <v>10.293342471067035</v>
      </c>
      <c r="AH56" s="8"/>
      <c r="AI56" s="8"/>
      <c r="AJ56" s="8"/>
      <c r="AK56" s="8"/>
    </row>
    <row r="57" ht="13.5" customHeight="1" spans="1:37" x14ac:dyDescent="0.25">
      <c r="A57" s="257"/>
      <c r="B57" s="8"/>
      <c r="C57" s="130" t="s">
        <v>289</v>
      </c>
      <c r="D57" s="8"/>
      <c r="E57" s="8"/>
      <c r="F57" s="381" t="e">
        <f>F51/F287</f>
        <v>#DIV/0!</v>
      </c>
      <c r="G57" s="381" t="e">
        <f>G51/G287</f>
        <v>#DIV/0!</v>
      </c>
      <c r="H57" s="381" t="e">
        <f>H51/H287</f>
        <v>#DIV/0!</v>
      </c>
      <c r="I57" s="381" t="e">
        <f>I51/I287</f>
        <v>#DIV/0!</v>
      </c>
      <c r="J57" s="118" t="e">
        <f>J51/J287</f>
        <v>#DIV/0!</v>
      </c>
      <c r="K57" s="381" t="e">
        <f t="shared" ref="K57:AG57" si="5">K51/K287</f>
        <v>#DIV/0!</v>
      </c>
      <c r="L57" s="381" t="e">
        <f t="shared" si="5"/>
        <v>#DIV/0!</v>
      </c>
      <c r="M57" s="381" t="e">
        <f t="shared" si="5"/>
        <v>#DIV/0!</v>
      </c>
      <c r="N57" s="381" t="e">
        <f t="shared" si="5"/>
        <v>#DIV/0!</v>
      </c>
      <c r="O57" s="118" t="e">
        <f t="shared" si="5"/>
        <v>#DIV/0!</v>
      </c>
      <c r="P57" s="381" t="e">
        <f t="shared" si="5"/>
        <v>#DIV/0!</v>
      </c>
      <c r="Q57" s="381" t="e">
        <f t="shared" si="5"/>
        <v>#DIV/0!</v>
      </c>
      <c r="R57" s="381" t="e">
        <f t="shared" si="5"/>
        <v>#DIV/0!</v>
      </c>
      <c r="S57" s="381" t="e">
        <f t="shared" si="5"/>
        <v>#DIV/0!</v>
      </c>
      <c r="T57" s="118" t="e">
        <f t="shared" si="5"/>
        <v>#DIV/0!</v>
      </c>
      <c r="U57" s="381" t="e">
        <f t="shared" si="5"/>
        <v>#DIV/0!</v>
      </c>
      <c r="V57" s="381" t="e">
        <f t="shared" si="5"/>
        <v>#DIV/0!</v>
      </c>
      <c r="W57" s="381" t="e">
        <f t="shared" si="5"/>
        <v>#DIV/0!</v>
      </c>
      <c r="X57" s="382">
        <f t="shared" si="5"/>
        <v>1.8150878204950458</v>
      </c>
      <c r="Y57" s="118">
        <f t="shared" si="5"/>
        <v>8.301054920353646</v>
      </c>
      <c r="Z57" s="383">
        <f t="shared" si="5"/>
        <v>1.8278218308793484</v>
      </c>
      <c r="AA57" s="383">
        <f t="shared" si="5"/>
        <v>2.0612253533581804</v>
      </c>
      <c r="AB57" s="383">
        <f t="shared" si="5"/>
        <v>2.0948074130684247</v>
      </c>
      <c r="AC57" s="383">
        <f t="shared" si="5"/>
        <v>2.03165884924205</v>
      </c>
      <c r="AD57" s="118">
        <f t="shared" si="5"/>
        <v>8.014668413303683</v>
      </c>
      <c r="AE57" s="118">
        <f t="shared" si="5"/>
        <v>9.103086206487252</v>
      </c>
      <c r="AF57" s="118">
        <f t="shared" si="5"/>
        <v>9.567629606410177</v>
      </c>
      <c r="AG57" s="118">
        <f t="shared" si="5"/>
        <v>10.283124027331134</v>
      </c>
      <c r="AH57" s="8"/>
      <c r="AI57" s="8"/>
      <c r="AJ57" s="8"/>
      <c r="AK57" s="8"/>
    </row>
    <row r="58" ht="13.5" customHeight="1" spans="1:37" x14ac:dyDescent="0.25">
      <c r="A58" s="257"/>
      <c r="B58" s="8"/>
      <c r="C58" s="130"/>
      <c r="D58" s="8"/>
      <c r="E58" s="8"/>
      <c r="F58" s="308"/>
      <c r="G58" s="308"/>
      <c r="H58" s="308"/>
      <c r="I58" s="308"/>
      <c r="J58" s="8"/>
      <c r="K58" s="308"/>
      <c r="L58" s="308"/>
      <c r="M58" s="308"/>
      <c r="N58" s="308"/>
      <c r="O58" s="8"/>
      <c r="P58" s="308"/>
      <c r="Q58" s="308"/>
      <c r="R58" s="308"/>
      <c r="S58" s="308"/>
      <c r="T58" s="8"/>
      <c r="U58" s="308"/>
      <c r="V58" s="308"/>
      <c r="W58" s="308"/>
      <c r="X58" s="355"/>
      <c r="Y58" s="8"/>
      <c r="Z58" s="309"/>
      <c r="AA58" s="309"/>
      <c r="AB58" s="309"/>
      <c r="AC58" s="309"/>
      <c r="AD58" s="8"/>
      <c r="AE58" s="8"/>
      <c r="AF58" s="8"/>
      <c r="AG58" s="8"/>
      <c r="AH58" s="8"/>
      <c r="AI58" s="8"/>
      <c r="AJ58" s="8"/>
      <c r="AK58" s="8"/>
    </row>
    <row r="59" ht="13.5" customHeight="1" spans="1:37" x14ac:dyDescent="0.25">
      <c r="A59" s="257"/>
      <c r="B59" s="8"/>
      <c r="C59" s="130" t="s">
        <v>273</v>
      </c>
      <c r="D59" s="8"/>
      <c r="E59" s="8"/>
      <c r="F59" s="348">
        <f t="shared" ref="F59:AG59" si="6">F36</f>
        <v>644.0999999999999</v>
      </c>
      <c r="G59" s="348">
        <f t="shared" si="6"/>
        <v>707.1999999999998</v>
      </c>
      <c r="H59" s="348">
        <f t="shared" si="6"/>
        <v>727.8</v>
      </c>
      <c r="I59" s="348">
        <f t="shared" si="6"/>
        <v>700.8000000000002</v>
      </c>
      <c r="J59" s="275">
        <f t="shared" si="6"/>
        <v>2779.8999999999996</v>
      </c>
      <c r="K59" s="348">
        <f t="shared" si="6"/>
        <v>733</v>
      </c>
      <c r="L59" s="348">
        <f t="shared" si="6"/>
        <v>814</v>
      </c>
      <c r="M59" s="348">
        <f t="shared" si="6"/>
        <v>846</v>
      </c>
      <c r="N59" s="348">
        <f t="shared" si="6"/>
        <v>803</v>
      </c>
      <c r="O59" s="275">
        <f t="shared" si="6"/>
        <v>3196</v>
      </c>
      <c r="P59" s="348">
        <f t="shared" si="6"/>
        <v>804</v>
      </c>
      <c r="Q59" s="348">
        <f t="shared" si="6"/>
        <v>861</v>
      </c>
      <c r="R59" s="348">
        <f t="shared" si="6"/>
        <v>836</v>
      </c>
      <c r="S59" s="348">
        <f t="shared" si="6"/>
        <v>800</v>
      </c>
      <c r="T59" s="275">
        <f t="shared" si="6"/>
        <v>3301</v>
      </c>
      <c r="U59" s="348">
        <f t="shared" si="6"/>
        <v>4152.631</v>
      </c>
      <c r="V59" s="348">
        <f t="shared" si="6"/>
        <v>4379.486</v>
      </c>
      <c r="W59" s="348">
        <f t="shared" si="6"/>
        <v>4358.186</v>
      </c>
      <c r="X59" s="384">
        <f t="shared" si="6"/>
        <v>893.9576914541115</v>
      </c>
      <c r="Y59" s="275">
        <f t="shared" si="6"/>
        <v>3829.260691454111</v>
      </c>
      <c r="Z59" s="384">
        <f t="shared" si="6"/>
        <v>887.6835145126602</v>
      </c>
      <c r="AA59" s="384">
        <f t="shared" si="6"/>
        <v>974.753996620093</v>
      </c>
      <c r="AB59" s="384">
        <f t="shared" si="6"/>
        <v>981.5941838323864</v>
      </c>
      <c r="AC59" s="384">
        <f t="shared" si="6"/>
        <v>950.484156482478</v>
      </c>
      <c r="AD59" s="275">
        <f t="shared" si="6"/>
        <v>3794.515851447618</v>
      </c>
      <c r="AE59" s="275">
        <f t="shared" si="6"/>
        <v>4153.313493716915</v>
      </c>
      <c r="AF59" s="275">
        <f t="shared" si="6"/>
        <v>4316.982078703026</v>
      </c>
      <c r="AG59" s="275">
        <f t="shared" si="6"/>
        <v>4540.36069511936</v>
      </c>
      <c r="AH59" s="8"/>
      <c r="AI59" s="8"/>
      <c r="AJ59" s="8"/>
      <c r="AK59" s="8"/>
    </row>
    <row r="60" ht="13.5" customHeight="1" spans="1:37" x14ac:dyDescent="0.25">
      <c r="A60" s="257"/>
      <c r="B60" s="8"/>
      <c r="C60" s="130" t="s">
        <v>271</v>
      </c>
      <c r="D60" s="8"/>
      <c r="E60" s="8"/>
      <c r="F60" s="385">
        <f>-F34</f>
        <v>358.7</v>
      </c>
      <c r="G60" s="385">
        <f>-G34</f>
        <v>358.3</v>
      </c>
      <c r="H60" s="385">
        <f>-H34</f>
        <v>382.3</v>
      </c>
      <c r="I60" s="385">
        <f>-I34</f>
        <v>401.6</v>
      </c>
      <c r="J60" s="351">
        <f>SUM(F60:I60)</f>
        <v>1500.9</v>
      </c>
      <c r="K60" s="385">
        <f t="shared" ref="K60:W60" si="7">-K34</f>
        <v>399</v>
      </c>
      <c r="L60" s="385">
        <f t="shared" si="7"/>
        <v>413</v>
      </c>
      <c r="M60" s="385">
        <f t="shared" si="7"/>
        <v>422</v>
      </c>
      <c r="N60" s="385">
        <f t="shared" si="7"/>
        <v>443</v>
      </c>
      <c r="O60" s="351">
        <f>SUM(K60:N60)</f>
        <v>1677</v>
      </c>
      <c r="P60" s="385">
        <f t="shared" si="7"/>
        <v>434</v>
      </c>
      <c r="Q60" s="385">
        <f t="shared" si="7"/>
        <v>463</v>
      </c>
      <c r="R60" s="385">
        <f t="shared" si="7"/>
        <v>459</v>
      </c>
      <c r="S60" s="385">
        <f t="shared" si="7"/>
        <v>458</v>
      </c>
      <c r="T60" s="351">
        <f>SUM(P60:S60)</f>
        <v>1814</v>
      </c>
      <c r="U60" s="385">
        <f t="shared" si="7"/>
        <v>0</v>
      </c>
      <c r="V60" s="385">
        <f t="shared" si="7"/>
        <v>0</v>
      </c>
      <c r="W60" s="385">
        <f t="shared" si="7"/>
        <v>0</v>
      </c>
      <c r="X60" s="352">
        <f>-X34</f>
        <v>494.4525422831382</v>
      </c>
      <c r="Y60" s="351">
        <f>SUM(U60:X60)</f>
        <v>1850.4525422831382</v>
      </c>
      <c r="Z60" s="352">
        <f>-Z34</f>
        <v>485.2960137223393</v>
      </c>
      <c r="AA60" s="352">
        <f>-AA34</f>
        <v>485.93052936790724</v>
      </c>
      <c r="AB60" s="352">
        <f>-AB34</f>
        <v>486.65053926761317</v>
      </c>
      <c r="AC60" s="352">
        <f>-AC34</f>
        <v>487.72771209352163</v>
      </c>
      <c r="AD60" s="351">
        <f>SUM(Z60:AC60)</f>
        <v>1945.6047944513814</v>
      </c>
      <c r="AE60" s="351">
        <f>-AE34</f>
        <v>1977.3332418248879</v>
      </c>
      <c r="AF60" s="351">
        <f>-AF34</f>
        <v>2085.257924525477</v>
      </c>
      <c r="AG60" s="351">
        <f>-AG34</f>
        <v>2190.6617597324716</v>
      </c>
      <c r="AH60" s="8"/>
      <c r="AI60" s="8"/>
      <c r="AJ60" s="8"/>
      <c r="AK60" s="8"/>
    </row>
    <row r="61" ht="13.5" customHeight="1" spans="1:37" x14ac:dyDescent="0.25">
      <c r="A61" s="257"/>
      <c r="B61" s="8"/>
      <c r="C61" s="130" t="s">
        <v>290</v>
      </c>
      <c r="D61" s="8"/>
      <c r="E61" s="8"/>
      <c r="F61" s="348">
        <f>SUM(F59:F60)</f>
        <v>1002.8</v>
      </c>
      <c r="G61" s="348">
        <f>SUM(G59:G60)</f>
        <v>1065.4999999999998</v>
      </c>
      <c r="H61" s="348">
        <f>SUM(H59:H60)</f>
        <v>1110.1</v>
      </c>
      <c r="I61" s="348">
        <f>SUM(I59:I60)</f>
        <v>1102.4</v>
      </c>
      <c r="J61" s="275">
        <f>SUM(J59:J60)</f>
        <v>4280.799999999999</v>
      </c>
      <c r="K61" s="348">
        <f t="shared" ref="K61:P61" si="8">SUM(K59:K60)</f>
        <v>1132</v>
      </c>
      <c r="L61" s="348">
        <f t="shared" si="8"/>
        <v>1227</v>
      </c>
      <c r="M61" s="348">
        <f t="shared" si="8"/>
        <v>1268</v>
      </c>
      <c r="N61" s="348">
        <f t="shared" si="8"/>
        <v>1246</v>
      </c>
      <c r="O61" s="275">
        <f t="shared" si="8"/>
        <v>4873</v>
      </c>
      <c r="P61" s="386">
        <f t="shared" si="8"/>
        <v>1238</v>
      </c>
      <c r="Q61" s="386">
        <f>SUM(Q59:Q60)</f>
        <v>1324</v>
      </c>
      <c r="R61" s="386">
        <f>SUM(R59:R60)</f>
        <v>1295</v>
      </c>
      <c r="S61" s="386">
        <f>SUM(S59:S60)</f>
        <v>1258</v>
      </c>
      <c r="T61" s="275">
        <f>SUM(P61:S61)</f>
        <v>5115</v>
      </c>
      <c r="U61" s="386">
        <f>SUM(U59:U60)</f>
        <v>4152.631</v>
      </c>
      <c r="V61" s="386">
        <f>SUM(V59:V60)</f>
        <v>4379.486</v>
      </c>
      <c r="W61" s="386">
        <f>SUM(W59:W60)</f>
        <v>4358.186</v>
      </c>
      <c r="X61" s="387">
        <f>SUM(X59:X60)</f>
        <v>1388.4102337372497</v>
      </c>
      <c r="Y61" s="275">
        <f>SUM(U61:X61)</f>
        <v>5679.7132337372495</v>
      </c>
      <c r="Z61" s="387">
        <f>SUM(Z59:Z60)</f>
        <v>1372.9795282349994</v>
      </c>
      <c r="AA61" s="387">
        <f>SUM(AA59:AA60)</f>
        <v>1460.6845259880001</v>
      </c>
      <c r="AB61" s="387">
        <f>SUM(AB59:AB60)</f>
        <v>1468.2447230999996</v>
      </c>
      <c r="AC61" s="387">
        <f>SUM(AC59:AC60)</f>
        <v>1438.2118685759997</v>
      </c>
      <c r="AD61" s="275">
        <f>SUM(Z61:AC61)</f>
        <v>5740.120645898999</v>
      </c>
      <c r="AE61" s="275">
        <f>SUM(AE59:AE60)</f>
        <v>6130.646735541803</v>
      </c>
      <c r="AF61" s="275">
        <f>SUM(AF59:AF60)</f>
        <v>6402.240003228502</v>
      </c>
      <c r="AG61" s="275">
        <f>SUM(AG59:AG60)</f>
        <v>6731.022454851831</v>
      </c>
      <c r="AH61" s="8"/>
      <c r="AI61" s="8"/>
      <c r="AJ61" s="275"/>
      <c r="AK61" s="8"/>
    </row>
    <row r="62" ht="13.5" customHeight="1" spans="1:37" x14ac:dyDescent="0.25">
      <c r="A62" s="257"/>
      <c r="B62" s="8"/>
      <c r="C62" s="388" t="s">
        <v>291</v>
      </c>
      <c r="D62" s="8"/>
      <c r="E62" s="8"/>
      <c r="F62" s="386">
        <f t="shared" ref="F62:N62" si="9">F249</f>
        <v>11.6</v>
      </c>
      <c r="G62" s="386">
        <f t="shared" si="9"/>
        <v>9.8</v>
      </c>
      <c r="H62" s="386">
        <f t="shared" si="9"/>
        <v>10.3</v>
      </c>
      <c r="I62" s="386">
        <f t="shared" si="9"/>
        <v>9.3</v>
      </c>
      <c r="J62" s="275">
        <f t="shared" si="9"/>
        <v>41</v>
      </c>
      <c r="K62" s="386">
        <f t="shared" si="9"/>
        <v>11</v>
      </c>
      <c r="L62" s="386">
        <f t="shared" si="9"/>
        <v>11</v>
      </c>
      <c r="M62" s="386">
        <f t="shared" si="9"/>
        <v>9</v>
      </c>
      <c r="N62" s="386">
        <f t="shared" si="9"/>
        <v>11</v>
      </c>
      <c r="O62" s="275">
        <f t="shared" ref="O62:AF62" si="10">O249</f>
        <v>42</v>
      </c>
      <c r="P62" s="386">
        <f t="shared" si="10"/>
        <v>13</v>
      </c>
      <c r="Q62" s="386">
        <f t="shared" si="10"/>
        <v>10</v>
      </c>
      <c r="R62" s="386">
        <f t="shared" si="10"/>
        <v>10</v>
      </c>
      <c r="S62" s="386">
        <f t="shared" si="10"/>
        <v>0</v>
      </c>
      <c r="T62" s="275">
        <f t="shared" si="10"/>
        <v>33</v>
      </c>
      <c r="U62" s="386">
        <f t="shared" si="10"/>
        <v>0</v>
      </c>
      <c r="V62" s="386">
        <f t="shared" si="10"/>
        <v>0</v>
      </c>
      <c r="W62" s="386">
        <f>W249</f>
        <v>0</v>
      </c>
      <c r="X62" s="387">
        <f t="shared" si="10"/>
        <v>0</v>
      </c>
      <c r="Y62" s="275">
        <f t="shared" si="10"/>
        <v>0</v>
      </c>
      <c r="Z62" s="387">
        <f t="shared" si="10"/>
        <v>0</v>
      </c>
      <c r="AA62" s="387">
        <f t="shared" si="10"/>
        <v>0</v>
      </c>
      <c r="AB62" s="387">
        <f t="shared" si="10"/>
        <v>0</v>
      </c>
      <c r="AC62" s="387">
        <f t="shared" si="10"/>
        <v>0</v>
      </c>
      <c r="AD62" s="275">
        <f t="shared" si="10"/>
        <v>0</v>
      </c>
      <c r="AE62" s="275">
        <f t="shared" si="10"/>
        <v>0</v>
      </c>
      <c r="AF62" s="275">
        <f t="shared" si="10"/>
        <v>0</v>
      </c>
      <c r="AG62" s="275">
        <f>AG249</f>
        <v>0</v>
      </c>
      <c r="AH62" s="8"/>
      <c r="AI62" s="8"/>
      <c r="AJ62" s="8"/>
      <c r="AK62" s="8"/>
    </row>
    <row r="63" ht="13.5" customHeight="1" spans="1:37" x14ac:dyDescent="0.25">
      <c r="A63" s="257"/>
      <c r="B63" s="8"/>
      <c r="C63" s="130" t="s">
        <v>292</v>
      </c>
      <c r="D63" s="8"/>
      <c r="E63" s="8"/>
      <c r="F63" s="386">
        <f>SUM(F61:F62)</f>
        <v>1014.4</v>
      </c>
      <c r="G63" s="386">
        <f>SUM(G61:G62)</f>
        <v>1075.2999999999997</v>
      </c>
      <c r="H63" s="386">
        <f>SUM(H61:H62)</f>
        <v>1120.3999999999999</v>
      </c>
      <c r="I63" s="386">
        <f>SUM(I61:I62)</f>
        <v>1111.7</v>
      </c>
      <c r="J63" s="275">
        <f>SUM(J61:J62)</f>
        <v>4321.799999999999</v>
      </c>
      <c r="K63" s="386">
        <f t="shared" ref="K63:AF63" si="11">SUM(K61:K62)</f>
        <v>1143</v>
      </c>
      <c r="L63" s="386">
        <f t="shared" si="11"/>
        <v>1238</v>
      </c>
      <c r="M63" s="386">
        <f t="shared" si="11"/>
        <v>1277</v>
      </c>
      <c r="N63" s="386">
        <f t="shared" si="11"/>
        <v>1257</v>
      </c>
      <c r="O63" s="275">
        <f t="shared" si="11"/>
        <v>4915</v>
      </c>
      <c r="P63" s="386">
        <f t="shared" si="11"/>
        <v>1251</v>
      </c>
      <c r="Q63" s="386">
        <f t="shared" si="11"/>
        <v>1334</v>
      </c>
      <c r="R63" s="386">
        <f t="shared" si="11"/>
        <v>1305</v>
      </c>
      <c r="S63" s="386">
        <f t="shared" si="11"/>
        <v>1258</v>
      </c>
      <c r="T63" s="275">
        <f t="shared" si="11"/>
        <v>5148</v>
      </c>
      <c r="U63" s="386">
        <f t="shared" si="11"/>
        <v>4152.631</v>
      </c>
      <c r="V63" s="386">
        <f t="shared" si="11"/>
        <v>4379.486</v>
      </c>
      <c r="W63" s="386">
        <f>SUM(W61:W62)</f>
        <v>4358.186</v>
      </c>
      <c r="X63" s="387">
        <f t="shared" si="11"/>
        <v>1421.9980405970878</v>
      </c>
      <c r="Y63" s="275">
        <f t="shared" si="11"/>
        <v>5782.301040597087</v>
      </c>
      <c r="Z63" s="387">
        <f t="shared" si="11"/>
        <v>1405.9831564823942</v>
      </c>
      <c r="AA63" s="387">
        <f t="shared" si="11"/>
        <v>1495.46515941622</v>
      </c>
      <c r="AB63" s="387">
        <f t="shared" si="11"/>
        <v>1502.8786387474731</v>
      </c>
      <c r="AC63" s="387">
        <f t="shared" si="11"/>
        <v>1472.4574013403196</v>
      </c>
      <c r="AD63" s="275">
        <f t="shared" si="11"/>
        <v>5876.784355986407</v>
      </c>
      <c r="AE63" s="275">
        <f t="shared" si="11"/>
        <v>6273.921419794481</v>
      </c>
      <c r="AF63" s="275">
        <f t="shared" si="11"/>
        <v>6552.7912157435885</v>
      </c>
      <c r="AG63" s="275">
        <f>SUM(AG61:AG62)</f>
        <v>6888.81507789511</v>
      </c>
      <c r="AH63" s="8"/>
      <c r="AI63" s="8"/>
      <c r="AJ63" s="275"/>
      <c r="AK63" s="8"/>
    </row>
    <row r="64" ht="13.5" customHeight="1" spans="1:37" x14ac:dyDescent="0.25">
      <c r="A64" s="257"/>
      <c r="B64" s="8"/>
      <c r="C64" s="8"/>
      <c r="D64" s="8"/>
      <c r="E64" s="8"/>
      <c r="F64" s="308"/>
      <c r="G64" s="308"/>
      <c r="H64" s="308"/>
      <c r="I64" s="308"/>
      <c r="J64" s="8"/>
      <c r="K64" s="308"/>
      <c r="L64" s="308"/>
      <c r="M64" s="308"/>
      <c r="N64" s="308"/>
      <c r="O64" s="8"/>
      <c r="P64" s="308"/>
      <c r="Q64" s="308"/>
      <c r="R64" s="308"/>
      <c r="S64" s="308"/>
      <c r="T64" s="8"/>
      <c r="U64" s="389"/>
      <c r="V64" s="389"/>
      <c r="W64" s="389"/>
      <c r="X64" s="355"/>
      <c r="Y64" s="8"/>
      <c r="Z64" s="309"/>
      <c r="AA64" s="309"/>
      <c r="AB64" s="309"/>
      <c r="AC64" s="309"/>
      <c r="AD64" s="8"/>
      <c r="AE64" s="8"/>
      <c r="AF64" s="8"/>
      <c r="AG64" s="8"/>
      <c r="AH64" s="8"/>
      <c r="AI64" s="8"/>
      <c r="AJ64" s="8"/>
      <c r="AK64" s="8"/>
    </row>
    <row r="65" ht="13.5" customHeight="1" spans="1:37" x14ac:dyDescent="0.25">
      <c r="A65" s="257"/>
      <c r="B65" s="40"/>
      <c r="C65" s="345" t="s">
        <v>293</v>
      </c>
      <c r="D65" s="390"/>
      <c r="E65" s="390"/>
      <c r="F65" s="186">
        <f t="shared" ref="F65:AG65" si="12">F$25</f>
        <v>0</v>
      </c>
      <c r="G65" s="186">
        <f t="shared" si="12"/>
        <v>0</v>
      </c>
      <c r="H65" s="186">
        <f t="shared" si="12"/>
        <v>0</v>
      </c>
      <c r="I65" s="186">
        <f t="shared" si="12"/>
        <v>0</v>
      </c>
      <c r="J65" s="186">
        <f t="shared" si="12"/>
        <v>2023</v>
      </c>
      <c r="K65" s="186">
        <f t="shared" si="12"/>
        <v>0</v>
      </c>
      <c r="L65" s="186">
        <f t="shared" si="12"/>
        <v>0</v>
      </c>
      <c r="M65" s="186">
        <f t="shared" si="12"/>
        <v>0</v>
      </c>
      <c r="N65" s="186">
        <f t="shared" si="12"/>
        <v>0</v>
      </c>
      <c r="O65" s="186">
        <f t="shared" si="12"/>
        <v>2024</v>
      </c>
      <c r="P65" s="186">
        <f t="shared" si="12"/>
        <v>0</v>
      </c>
      <c r="Q65" s="186">
        <f t="shared" si="12"/>
        <v>0</v>
      </c>
      <c r="R65" s="186">
        <f t="shared" si="12"/>
        <v>0</v>
      </c>
      <c r="S65" s="186">
        <f t="shared" si="12"/>
        <v>0</v>
      </c>
      <c r="T65" s="186">
        <f t="shared" si="12"/>
        <v>2025</v>
      </c>
      <c r="U65" s="186" t="str">
        <f t="shared" si="12"/>
        <v>1Q26e</v>
      </c>
      <c r="V65" s="186" t="str">
        <f t="shared" si="12"/>
        <v>2Q26e</v>
      </c>
      <c r="W65" s="186" t="str">
        <f t="shared" si="12"/>
        <v>3Q26</v>
      </c>
      <c r="X65" s="186" t="str">
        <f t="shared" si="12"/>
        <v>4Q26e</v>
      </c>
      <c r="Y65" s="186" t="str">
        <f t="shared" si="12"/>
        <v>2026e</v>
      </c>
      <c r="Z65" s="186" t="str">
        <f t="shared" si="12"/>
        <v>1Q27e</v>
      </c>
      <c r="AA65" s="186" t="str">
        <f t="shared" si="12"/>
        <v>2Q27e</v>
      </c>
      <c r="AB65" s="186" t="str">
        <f t="shared" si="12"/>
        <v>3Q27e</v>
      </c>
      <c r="AC65" s="186" t="str">
        <f t="shared" si="12"/>
        <v>4Q27e</v>
      </c>
      <c r="AD65" s="186" t="str">
        <f t="shared" si="12"/>
        <v>2027e</v>
      </c>
      <c r="AE65" s="186" t="str">
        <f t="shared" si="12"/>
        <v>2028e</v>
      </c>
      <c r="AF65" s="186" t="str">
        <f t="shared" si="12"/>
        <v>2029e</v>
      </c>
      <c r="AG65" s="347" t="str">
        <f t="shared" si="12"/>
        <v>2030e</v>
      </c>
      <c r="AH65" s="257" t="s">
        <v>3</v>
      </c>
      <c r="AI65" s="8"/>
      <c r="AJ65" s="8"/>
      <c r="AK65" s="8"/>
    </row>
    <row r="66" ht="13.5" customHeight="1" spans="1:37" x14ac:dyDescent="0.25">
      <c r="A66" s="257" t="s">
        <v>3</v>
      </c>
      <c r="B66" s="8"/>
      <c r="C66" s="391" t="s">
        <v>43</v>
      </c>
      <c r="D66" s="392"/>
      <c r="E66" s="392"/>
      <c r="F66" s="392"/>
      <c r="G66" s="392"/>
      <c r="H66" s="392"/>
      <c r="I66" s="392"/>
      <c r="J66" s="392"/>
      <c r="K66" s="392"/>
      <c r="L66" s="392"/>
      <c r="M66" s="392"/>
      <c r="N66" s="392"/>
      <c r="O66" s="392"/>
      <c r="P66" s="392"/>
      <c r="Q66" s="392"/>
      <c r="R66" s="392"/>
      <c r="S66" s="392"/>
      <c r="T66" s="392"/>
      <c r="U66" s="392"/>
      <c r="V66" s="392"/>
      <c r="W66" s="392"/>
      <c r="X66" s="392"/>
      <c r="Y66" s="392"/>
      <c r="Z66" s="392"/>
      <c r="AA66" s="392"/>
      <c r="AB66" s="392"/>
      <c r="AC66" s="392"/>
      <c r="AD66" s="392"/>
      <c r="AE66" s="392"/>
      <c r="AF66" s="392"/>
      <c r="AG66" s="393"/>
      <c r="AH66" s="8"/>
      <c r="AI66" s="8"/>
      <c r="AJ66" s="8"/>
      <c r="AK66" s="8"/>
    </row>
    <row r="67" ht="13.5" customHeight="1" spans="1:37" x14ac:dyDescent="0.25">
      <c r="A67" s="257"/>
      <c r="B67" s="40"/>
      <c r="C67" s="8"/>
      <c r="D67" s="40"/>
      <c r="E67" s="40"/>
      <c r="F67" s="308"/>
      <c r="G67" s="308"/>
      <c r="H67" s="308"/>
      <c r="I67" s="308"/>
      <c r="J67" s="8"/>
      <c r="K67" s="308"/>
      <c r="L67" s="308"/>
      <c r="M67" s="308"/>
      <c r="N67" s="308"/>
      <c r="O67" s="8"/>
      <c r="P67" s="308"/>
      <c r="Q67" s="308"/>
      <c r="R67" s="308"/>
      <c r="S67" s="308"/>
      <c r="T67" s="8"/>
      <c r="U67" s="308"/>
      <c r="V67" s="308"/>
      <c r="W67" s="308"/>
      <c r="X67" s="309"/>
      <c r="Y67" s="8"/>
      <c r="Z67" s="309"/>
      <c r="AA67" s="309"/>
      <c r="AB67" s="309"/>
      <c r="AC67" s="309"/>
      <c r="AD67" s="8"/>
      <c r="AE67" s="8"/>
      <c r="AF67" s="8"/>
      <c r="AG67" s="8"/>
      <c r="AH67" s="8"/>
      <c r="AI67" s="8"/>
      <c r="AJ67" s="8"/>
      <c r="AK67" s="8"/>
    </row>
    <row r="68" ht="13.5" customHeight="1" spans="1:37" x14ac:dyDescent="0.25">
      <c r="A68" s="257"/>
      <c r="B68" s="40"/>
      <c r="C68" s="8" t="s">
        <v>109</v>
      </c>
      <c r="D68" s="40"/>
      <c r="E68" s="40"/>
      <c r="F68" s="394">
        <f>F30/F28</f>
        <v>0.4768759645061728</v>
      </c>
      <c r="G68" s="394">
        <f>G30/G28</f>
        <v>0.48525940667376305</v>
      </c>
      <c r="H68" s="394">
        <f>H30/H28</f>
        <v>0.4825109872683612</v>
      </c>
      <c r="I68" s="394">
        <f>I30/I28</f>
        <v>0.48479403134453974</v>
      </c>
      <c r="J68" s="395">
        <f>J30/J28</f>
        <v>0.4824267467634311</v>
      </c>
      <c r="K68" s="394">
        <f t="shared" ref="K68:W68" si="13">K30/K28</f>
        <v>0.4856949763460239</v>
      </c>
      <c r="L68" s="394">
        <f t="shared" si="13"/>
        <v>0.48895560797769677</v>
      </c>
      <c r="M68" s="394">
        <f t="shared" si="13"/>
        <v>0.49423076923076925</v>
      </c>
      <c r="N68" s="394">
        <f t="shared" si="13"/>
        <v>0.5</v>
      </c>
      <c r="O68" s="395">
        <f t="shared" si="13"/>
        <v>0.49228931364031275</v>
      </c>
      <c r="P68" s="394">
        <f t="shared" si="13"/>
        <v>0.49618985412584365</v>
      </c>
      <c r="Q68" s="394">
        <f t="shared" si="13"/>
        <v>0.4983613273248669</v>
      </c>
      <c r="R68" s="394">
        <f t="shared" si="13"/>
        <v>0.4897451833436917</v>
      </c>
      <c r="S68" s="394">
        <f t="shared" si="13"/>
        <v>0.49143219801142374</v>
      </c>
      <c r="T68" s="395">
        <f t="shared" si="13"/>
        <v>0.49393031688475486</v>
      </c>
      <c r="U68" s="394">
        <f t="shared" si="13"/>
        <v>1</v>
      </c>
      <c r="V68" s="394">
        <f t="shared" si="13"/>
        <v>1</v>
      </c>
      <c r="W68" s="394">
        <f t="shared" si="13"/>
        <v>1</v>
      </c>
      <c r="X68" s="396">
        <f>IF(Cover!$F$37="Bottom Up",(X30/X28),Drivers!X7)</f>
        <v>0.424</v>
      </c>
      <c r="Y68" s="395">
        <f>Y30/Y28</f>
        <v>0.8525330584758063</v>
      </c>
      <c r="Z68" s="396">
        <f>IF(Cover!$F$37="Bottom Up",(Z30/Z28),Drivers!Z7)</f>
        <v>0.428</v>
      </c>
      <c r="AA68" s="396">
        <f>IF(Cover!$F$37="Bottom Up",(AA30/AA28),Drivers!AA7)</f>
        <v>0.425</v>
      </c>
      <c r="AB68" s="396">
        <f>IF(Cover!$F$37="Bottom Up",(AB30/AB28),Drivers!AB7)</f>
        <v>0.428</v>
      </c>
      <c r="AC68" s="396">
        <f>IF(Cover!$F$37="Bottom Up",(AC30/AC28),Drivers!AC7)</f>
        <v>0.428</v>
      </c>
      <c r="AD68" s="395">
        <f>AD30/AD28</f>
        <v>0.42723650616379494</v>
      </c>
      <c r="AE68" s="395">
        <f>IF(Cover!$F$37="Bottom Up",(AE30/AE28),Drivers!AE7)</f>
        <v>0.431</v>
      </c>
      <c r="AF68" s="395">
        <f>IF(Cover!$F$37="Bottom Up",(AF30/AF28),Drivers!AF7)</f>
        <v>0.428</v>
      </c>
      <c r="AG68" s="395">
        <f>IF(Cover!$F$37="Bottom Up",(AG30/AG28),Drivers!AG7)</f>
        <v>0.428</v>
      </c>
      <c r="AH68" s="8"/>
      <c r="AI68" s="8"/>
      <c r="AJ68" s="8"/>
      <c r="AK68" s="8"/>
    </row>
    <row r="69" ht="13.5" customHeight="1" spans="1:37" x14ac:dyDescent="0.25">
      <c r="A69" s="257"/>
      <c r="B69" s="40"/>
      <c r="C69" s="8" t="s">
        <v>294</v>
      </c>
      <c r="D69" s="40"/>
      <c r="E69" s="40"/>
      <c r="F69" s="394">
        <f>F32/F28</f>
        <v>-0.09143518518518519</v>
      </c>
      <c r="G69" s="394">
        <f>G32/G28</f>
        <v>-0.0916369695006248</v>
      </c>
      <c r="H69" s="394">
        <f>H32/H28</f>
        <v>-0.09109238367088034</v>
      </c>
      <c r="I69" s="394">
        <f>I32/I28</f>
        <v>-0.09819621044969633</v>
      </c>
      <c r="J69" s="395">
        <f>J32/J28</f>
        <v>-0.09311827583612574</v>
      </c>
      <c r="K69" s="394">
        <f t="shared" ref="K69:W69" si="14">K32/K28</f>
        <v>-0.09326424870466321</v>
      </c>
      <c r="L69" s="394">
        <f t="shared" si="14"/>
        <v>-0.08728286510829938</v>
      </c>
      <c r="M69" s="394">
        <f t="shared" si="14"/>
        <v>-0.08675213675213675</v>
      </c>
      <c r="N69" s="394">
        <f t="shared" si="14"/>
        <v>-0.096460940871817</v>
      </c>
      <c r="O69" s="395">
        <f t="shared" si="14"/>
        <v>-0.0908992180712424</v>
      </c>
      <c r="P69" s="394">
        <f t="shared" si="14"/>
        <v>-0.09296755932941432</v>
      </c>
      <c r="Q69" s="394">
        <f t="shared" si="14"/>
        <v>-0.08705448586644818</v>
      </c>
      <c r="R69" s="394">
        <f t="shared" si="14"/>
        <v>-0.0874249015951937</v>
      </c>
      <c r="S69" s="394">
        <f t="shared" si="14"/>
        <v>-0.09223609054368521</v>
      </c>
      <c r="T69" s="395">
        <f t="shared" si="14"/>
        <v>-0.08986284092700615</v>
      </c>
      <c r="U69" s="394">
        <f t="shared" si="14"/>
        <v>0</v>
      </c>
      <c r="V69" s="394">
        <f t="shared" si="14"/>
        <v>0</v>
      </c>
      <c r="W69" s="394">
        <f t="shared" si="14"/>
        <v>0</v>
      </c>
      <c r="X69" s="397">
        <f>Drivers!X40</f>
        <v>-0.103</v>
      </c>
      <c r="Y69" s="395">
        <f>Y32/Y28</f>
        <v>-0.02636995655727767</v>
      </c>
      <c r="Z69" s="397">
        <f>Drivers!Z40</f>
        <v>-0.106</v>
      </c>
      <c r="AA69" s="397">
        <f>Drivers!AA40</f>
        <v>-0.1</v>
      </c>
      <c r="AB69" s="397">
        <f>Drivers!AB40</f>
        <v>-0.1</v>
      </c>
      <c r="AC69" s="397">
        <f>Drivers!AC40</f>
        <v>-0.103</v>
      </c>
      <c r="AD69" s="395">
        <f>AD32/AD28</f>
        <v>-0.10220071859299713</v>
      </c>
      <c r="AE69" s="398">
        <f>Drivers!AE40</f>
        <v>-0.1</v>
      </c>
      <c r="AF69" s="398">
        <f>Drivers!AF40</f>
        <v>-0.1</v>
      </c>
      <c r="AG69" s="398">
        <f>Drivers!AG40</f>
        <v>-0.1</v>
      </c>
      <c r="AH69" s="8"/>
      <c r="AI69" s="8"/>
      <c r="AJ69" s="8"/>
      <c r="AK69" s="8"/>
    </row>
    <row r="70" ht="13.5" customHeight="1" spans="1:37" x14ac:dyDescent="0.25">
      <c r="A70" s="257"/>
      <c r="B70" s="40"/>
      <c r="C70" s="8" t="s">
        <v>295</v>
      </c>
      <c r="D70" s="40"/>
      <c r="E70" s="40"/>
      <c r="F70" s="394">
        <f>F33/F28</f>
        <v>0</v>
      </c>
      <c r="G70" s="394">
        <f>G33/G28</f>
        <v>0</v>
      </c>
      <c r="H70" s="394">
        <f>H33/H28</f>
        <v>0</v>
      </c>
      <c r="I70" s="394">
        <f>I33/I28</f>
        <v>0</v>
      </c>
      <c r="J70" s="395">
        <f>J33/J28</f>
        <v>0</v>
      </c>
      <c r="K70" s="394">
        <f t="shared" ref="K70:W70" si="15">K33/K28</f>
        <v>0</v>
      </c>
      <c r="L70" s="394">
        <f t="shared" si="15"/>
        <v>0</v>
      </c>
      <c r="M70" s="394">
        <f t="shared" si="15"/>
        <v>0</v>
      </c>
      <c r="N70" s="394">
        <f t="shared" si="15"/>
        <v>0</v>
      </c>
      <c r="O70" s="395">
        <f t="shared" si="15"/>
        <v>0</v>
      </c>
      <c r="P70" s="394">
        <f t="shared" si="15"/>
        <v>0</v>
      </c>
      <c r="Q70" s="394">
        <f t="shared" si="15"/>
        <v>0</v>
      </c>
      <c r="R70" s="394">
        <f t="shared" si="15"/>
        <v>0</v>
      </c>
      <c r="S70" s="394">
        <f t="shared" si="15"/>
        <v>0</v>
      </c>
      <c r="T70" s="395">
        <f t="shared" si="15"/>
        <v>0</v>
      </c>
      <c r="U70" s="394">
        <f t="shared" si="15"/>
        <v>0</v>
      </c>
      <c r="V70" s="394">
        <f t="shared" si="15"/>
        <v>0</v>
      </c>
      <c r="W70" s="394">
        <f t="shared" si="15"/>
        <v>0</v>
      </c>
      <c r="X70" s="397">
        <f>Drivers!X45</f>
        <v>0</v>
      </c>
      <c r="Y70" s="395">
        <f>Y33/Y28</f>
        <v>0</v>
      </c>
      <c r="Z70" s="397">
        <f>Drivers!Z45</f>
        <v>0</v>
      </c>
      <c r="AA70" s="397">
        <f>Drivers!AA45</f>
        <v>0</v>
      </c>
      <c r="AB70" s="397">
        <f>Drivers!AB45</f>
        <v>0</v>
      </c>
      <c r="AC70" s="397">
        <f>Drivers!AC45</f>
        <v>0</v>
      </c>
      <c r="AD70" s="395">
        <f>AD33/AD28</f>
        <v>0</v>
      </c>
      <c r="AE70" s="398">
        <f>Drivers!AE45</f>
        <v>0</v>
      </c>
      <c r="AF70" s="398">
        <f>Drivers!AF45</f>
        <v>0</v>
      </c>
      <c r="AG70" s="398">
        <f>Drivers!AG45</f>
        <v>0</v>
      </c>
      <c r="AH70" s="8"/>
      <c r="AI70" s="8"/>
      <c r="AJ70" s="8"/>
      <c r="AK70" s="8"/>
    </row>
    <row r="71" ht="13.5" customHeight="1" spans="1:37" x14ac:dyDescent="0.25">
      <c r="A71" s="257"/>
      <c r="B71" s="40"/>
      <c r="C71" s="8" t="s">
        <v>296</v>
      </c>
      <c r="D71" s="40"/>
      <c r="E71" s="40"/>
      <c r="F71" s="394">
        <f>F35/F28</f>
        <v>-0.1436390817901234</v>
      </c>
      <c r="G71" s="394">
        <f>G35/G28</f>
        <v>-0.14705882352941171</v>
      </c>
      <c r="H71" s="394">
        <f>H35/H28</f>
        <v>-0.13993475601468</v>
      </c>
      <c r="I71" s="394">
        <f>I35/I28</f>
        <v>-0.13584150308213724</v>
      </c>
      <c r="J71" s="395">
        <f>J35/J28</f>
        <v>-0.14156408609244697</v>
      </c>
      <c r="K71" s="394">
        <f t="shared" ref="K71:W71" si="16">K35/K28</f>
        <v>-0.13741833746339266</v>
      </c>
      <c r="L71" s="394">
        <f t="shared" si="16"/>
        <v>-0.1385374222603474</v>
      </c>
      <c r="M71" s="394">
        <f t="shared" si="16"/>
        <v>-0.13653846153846153</v>
      </c>
      <c r="N71" s="394">
        <f t="shared" si="16"/>
        <v>-0.13465688390159689</v>
      </c>
      <c r="O71" s="395">
        <f t="shared" si="16"/>
        <v>-0.13678323197219808</v>
      </c>
      <c r="P71" s="394">
        <f t="shared" si="16"/>
        <v>-0.13368168952754192</v>
      </c>
      <c r="Q71" s="394">
        <f t="shared" si="16"/>
        <v>-0.14010651372388366</v>
      </c>
      <c r="R71" s="394">
        <f t="shared" si="16"/>
        <v>-0.1340377045784131</v>
      </c>
      <c r="S71" s="394">
        <f t="shared" si="16"/>
        <v>-0.13306536915591285</v>
      </c>
      <c r="T71" s="395">
        <f t="shared" si="16"/>
        <v>-0.13526722371117766</v>
      </c>
      <c r="U71" s="394">
        <f t="shared" si="16"/>
        <v>0</v>
      </c>
      <c r="V71" s="394">
        <f t="shared" si="16"/>
        <v>0</v>
      </c>
      <c r="W71" s="394">
        <f t="shared" si="16"/>
        <v>0</v>
      </c>
      <c r="X71" s="397">
        <f>Drivers!X50</f>
        <v>-0.008</v>
      </c>
      <c r="Y71" s="395">
        <f>Y35/Y28</f>
        <v>-0.0020481519656138</v>
      </c>
      <c r="Z71" s="397">
        <f>Drivers!Z50</f>
        <v>-0.007</v>
      </c>
      <c r="AA71" s="397">
        <f>Drivers!AA50</f>
        <v>-0.007</v>
      </c>
      <c r="AB71" s="397">
        <f>Drivers!AB50</f>
        <v>-0.007</v>
      </c>
      <c r="AC71" s="397">
        <f>Drivers!AC50</f>
        <v>-0.007</v>
      </c>
      <c r="AD71" s="395">
        <f>AD35/AD28</f>
        <v>-0.007000000000000002</v>
      </c>
      <c r="AE71" s="398">
        <f>Drivers!AE50</f>
        <v>-0.007</v>
      </c>
      <c r="AF71" s="398">
        <f>Drivers!AF50</f>
        <v>-0.006</v>
      </c>
      <c r="AG71" s="398">
        <f>Drivers!AG50</f>
        <v>-0.005</v>
      </c>
      <c r="AH71" s="8"/>
      <c r="AI71" s="8"/>
      <c r="AJ71" s="8"/>
      <c r="AK71" s="8"/>
    </row>
    <row r="72" ht="13.5" customHeight="1" spans="1:37" x14ac:dyDescent="0.25">
      <c r="A72" s="257"/>
      <c r="B72" s="40"/>
      <c r="C72" s="8" t="s">
        <v>297</v>
      </c>
      <c r="D72" s="40"/>
      <c r="E72" s="40"/>
      <c r="F72" s="394">
        <f>F41/F28</f>
        <v>0.0006028163580246914</v>
      </c>
      <c r="G72" s="394">
        <f>G41/G28</f>
        <v>-0.00013884389318276485</v>
      </c>
      <c r="H72" s="394">
        <f>H41/H28</f>
        <v>0.00029450410040324405</v>
      </c>
      <c r="I72" s="394">
        <f>I41/I28</f>
        <v>0.0008643632145213019</v>
      </c>
      <c r="J72" s="395">
        <f>J41/J28</f>
        <v>0.0004051136922640647</v>
      </c>
      <c r="K72" s="394">
        <f t="shared" ref="K72:W72" si="17">K41/K28</f>
        <v>0.002928587519711647</v>
      </c>
      <c r="L72" s="394">
        <f t="shared" si="17"/>
        <v>0.0002144542140253056</v>
      </c>
      <c r="M72" s="394">
        <f t="shared" si="17"/>
        <v>0.002136752136752137</v>
      </c>
      <c r="N72" s="394">
        <f t="shared" si="17"/>
        <v>0</v>
      </c>
      <c r="O72" s="395">
        <f t="shared" si="17"/>
        <v>0.0013032145960034753</v>
      </c>
      <c r="P72" s="394">
        <f t="shared" si="17"/>
        <v>0.0023949488351839754</v>
      </c>
      <c r="Q72" s="394">
        <f t="shared" si="17"/>
        <v>0.0008193363375665711</v>
      </c>
      <c r="R72" s="394">
        <f t="shared" si="17"/>
        <v>0.00145017609281127</v>
      </c>
      <c r="S72" s="394">
        <f t="shared" si="17"/>
        <v>-0.0002115506663845991</v>
      </c>
      <c r="T72" s="395">
        <f t="shared" si="17"/>
        <v>0.0011035787482263912</v>
      </c>
      <c r="U72" s="394">
        <f t="shared" si="17"/>
        <v>0</v>
      </c>
      <c r="V72" s="394">
        <f t="shared" si="17"/>
        <v>0</v>
      </c>
      <c r="W72" s="394">
        <f t="shared" si="17"/>
        <v>0</v>
      </c>
      <c r="X72" s="397">
        <f>Drivers!X57</f>
        <v>-0.012</v>
      </c>
      <c r="Y72" s="395">
        <f>Y41/Y28</f>
        <v>-0.0030722279484206995</v>
      </c>
      <c r="Z72" s="397">
        <f>Drivers!Z57</f>
        <v>-0.011</v>
      </c>
      <c r="AA72" s="397">
        <f>Drivers!AA57</f>
        <v>-0.011</v>
      </c>
      <c r="AB72" s="397">
        <f>Drivers!AB57</f>
        <v>-0.011</v>
      </c>
      <c r="AC72" s="397">
        <f>Drivers!AC57</f>
        <v>-0.011</v>
      </c>
      <c r="AD72" s="395">
        <f>AD41/AD28</f>
        <v>-0.011</v>
      </c>
      <c r="AE72" s="398">
        <f>Drivers!AE57</f>
        <v>-0.011</v>
      </c>
      <c r="AF72" s="398">
        <f>Drivers!AF57</f>
        <v>-0.012</v>
      </c>
      <c r="AG72" s="398">
        <f>Drivers!AG57</f>
        <v>-0.012</v>
      </c>
      <c r="AH72" s="8"/>
      <c r="AI72" s="8"/>
      <c r="AJ72" s="8"/>
      <c r="AK72" s="8"/>
    </row>
    <row r="73" ht="13.5" customHeight="1" spans="1:37" x14ac:dyDescent="0.25">
      <c r="A73" s="257"/>
      <c r="B73" s="40"/>
      <c r="C73" s="8" t="s">
        <v>298</v>
      </c>
      <c r="D73" s="40"/>
      <c r="E73" s="40"/>
      <c r="F73" s="394">
        <f>-F44/F42</f>
        <v>0.4076358024691357</v>
      </c>
      <c r="G73" s="394">
        <f>-G44/G42</f>
        <v>0.39650098842134973</v>
      </c>
      <c r="H73" s="394">
        <f>-H44/H42</f>
        <v>0.343223909177951</v>
      </c>
      <c r="I73" s="394">
        <f>-I44/I42</f>
        <v>0.3770323129251702</v>
      </c>
      <c r="J73" s="395">
        <f>-J44/J42</f>
        <v>0.3802194851229904</v>
      </c>
      <c r="K73" s="394">
        <f t="shared" ref="K73:W73" si="18">-K44/K42</f>
        <v>0.3925113788487283</v>
      </c>
      <c r="L73" s="394">
        <f t="shared" si="18"/>
        <v>0.37311764705882355</v>
      </c>
      <c r="M73" s="394">
        <f t="shared" si="18"/>
        <v>0.3422453488372093</v>
      </c>
      <c r="N73" s="394">
        <f t="shared" si="18"/>
        <v>0.3637590062111801</v>
      </c>
      <c r="O73" s="395">
        <f t="shared" si="18"/>
        <v>0.3670467781908303</v>
      </c>
      <c r="P73" s="394">
        <f t="shared" si="18"/>
        <v>0.39412974296205633</v>
      </c>
      <c r="Q73" s="394">
        <f t="shared" si="18"/>
        <v>0.3657381776239908</v>
      </c>
      <c r="R73" s="394">
        <f t="shared" si="18"/>
        <v>0.3495005917159763</v>
      </c>
      <c r="S73" s="394">
        <f t="shared" si="18"/>
        <v>0.32000499375780267</v>
      </c>
      <c r="T73" s="395">
        <f t="shared" si="18"/>
        <v>0.35758288288288287</v>
      </c>
      <c r="U73" s="394">
        <f t="shared" si="18"/>
        <v>0</v>
      </c>
      <c r="V73" s="394">
        <f t="shared" si="18"/>
        <v>0</v>
      </c>
      <c r="W73" s="394">
        <f t="shared" si="18"/>
        <v>0</v>
      </c>
      <c r="X73" s="397">
        <f>Drivers!X64</f>
        <v>0.211</v>
      </c>
      <c r="Y73" s="395">
        <f>-Y44/Y42</f>
        <v>0.18430358140800268</v>
      </c>
      <c r="Z73" s="397">
        <f>Drivers!Z64</f>
        <v>0.204</v>
      </c>
      <c r="AA73" s="397">
        <f>Drivers!AA64</f>
        <v>0.2042</v>
      </c>
      <c r="AB73" s="397">
        <f>Drivers!AB64</f>
        <v>0.2042</v>
      </c>
      <c r="AC73" s="397">
        <f>Drivers!AC64</f>
        <v>0.2042</v>
      </c>
      <c r="AD73" s="395">
        <f>-AD44/AD42</f>
        <v>0.20415423276010963</v>
      </c>
      <c r="AE73" s="398">
        <f>Drivers!AE64</f>
        <v>0.202</v>
      </c>
      <c r="AF73" s="398">
        <f>Drivers!AF64</f>
        <v>0.202</v>
      </c>
      <c r="AG73" s="398">
        <f>Drivers!AG64</f>
        <v>0.202</v>
      </c>
      <c r="AH73" s="8"/>
      <c r="AI73" s="8"/>
      <c r="AJ73" s="8"/>
      <c r="AK73" s="8"/>
    </row>
    <row r="74" ht="13.5" customHeight="1" spans="1:37" x14ac:dyDescent="0.25">
      <c r="A74" s="257"/>
      <c r="B74" s="40"/>
      <c r="C74" s="8"/>
      <c r="D74" s="40"/>
      <c r="E74" s="40"/>
      <c r="F74" s="312"/>
      <c r="G74" s="312"/>
      <c r="H74" s="312"/>
      <c r="I74" s="312"/>
      <c r="J74" s="160"/>
      <c r="K74" s="312"/>
      <c r="L74" s="312"/>
      <c r="M74" s="312"/>
      <c r="N74" s="312"/>
      <c r="O74" s="160"/>
      <c r="P74" s="312"/>
      <c r="Q74" s="312"/>
      <c r="R74" s="312"/>
      <c r="S74" s="312"/>
      <c r="T74" s="160"/>
      <c r="U74" s="312"/>
      <c r="V74" s="312"/>
      <c r="W74" s="312"/>
      <c r="X74" s="315"/>
      <c r="Y74" s="160"/>
      <c r="Z74" s="315"/>
      <c r="AA74" s="315"/>
      <c r="AB74" s="315"/>
      <c r="AC74" s="315"/>
      <c r="AD74" s="160"/>
      <c r="AE74" s="160"/>
      <c r="AF74" s="160"/>
      <c r="AG74" s="160"/>
      <c r="AH74" s="8"/>
      <c r="AI74" s="8"/>
      <c r="AJ74" s="8"/>
      <c r="AK74" s="8"/>
    </row>
    <row r="75" ht="13.5" customHeight="1" spans="1:37" x14ac:dyDescent="0.25">
      <c r="A75" s="257" t="s">
        <v>3</v>
      </c>
      <c r="B75" s="40"/>
      <c r="C75" s="53" t="s">
        <v>299</v>
      </c>
      <c r="D75" s="11"/>
      <c r="E75" s="11"/>
      <c r="F75" s="54">
        <f t="shared" ref="F75:AG75" si="19">F$65</f>
        <v>0</v>
      </c>
      <c r="G75" s="54">
        <f t="shared" si="19"/>
        <v>0</v>
      </c>
      <c r="H75" s="54">
        <f t="shared" si="19"/>
        <v>0</v>
      </c>
      <c r="I75" s="54">
        <f t="shared" si="19"/>
        <v>0</v>
      </c>
      <c r="J75" s="54">
        <f t="shared" si="19"/>
        <v>2023</v>
      </c>
      <c r="K75" s="54">
        <f t="shared" si="19"/>
        <v>0</v>
      </c>
      <c r="L75" s="54">
        <f t="shared" si="19"/>
        <v>0</v>
      </c>
      <c r="M75" s="54">
        <f t="shared" si="19"/>
        <v>0</v>
      </c>
      <c r="N75" s="54">
        <f t="shared" si="19"/>
        <v>0</v>
      </c>
      <c r="O75" s="54">
        <f t="shared" si="19"/>
        <v>2024</v>
      </c>
      <c r="P75" s="54">
        <f t="shared" si="19"/>
        <v>0</v>
      </c>
      <c r="Q75" s="54">
        <f t="shared" si="19"/>
        <v>0</v>
      </c>
      <c r="R75" s="54">
        <f t="shared" si="19"/>
        <v>0</v>
      </c>
      <c r="S75" s="54">
        <f t="shared" si="19"/>
        <v>0</v>
      </c>
      <c r="T75" s="54">
        <f t="shared" si="19"/>
        <v>2025</v>
      </c>
      <c r="U75" s="54" t="str">
        <f t="shared" si="19"/>
        <v>1Q26e</v>
      </c>
      <c r="V75" s="54" t="str">
        <f t="shared" si="19"/>
        <v>2Q26e</v>
      </c>
      <c r="W75" s="54" t="str">
        <f t="shared" si="19"/>
        <v>3Q26</v>
      </c>
      <c r="X75" s="54" t="str">
        <f t="shared" si="19"/>
        <v>4Q26e</v>
      </c>
      <c r="Y75" s="54" t="str">
        <f t="shared" si="19"/>
        <v>2026e</v>
      </c>
      <c r="Z75" s="54" t="str">
        <f t="shared" si="19"/>
        <v>1Q27e</v>
      </c>
      <c r="AA75" s="54" t="str">
        <f t="shared" si="19"/>
        <v>2Q27e</v>
      </c>
      <c r="AB75" s="54" t="str">
        <f t="shared" si="19"/>
        <v>3Q27e</v>
      </c>
      <c r="AC75" s="54" t="str">
        <f t="shared" si="19"/>
        <v>4Q27e</v>
      </c>
      <c r="AD75" s="54" t="str">
        <f t="shared" si="19"/>
        <v>2027e</v>
      </c>
      <c r="AE75" s="54" t="str">
        <f t="shared" si="19"/>
        <v>2028e</v>
      </c>
      <c r="AF75" s="54" t="str">
        <f t="shared" si="19"/>
        <v>2029e</v>
      </c>
      <c r="AG75" s="55" t="str">
        <f t="shared" si="19"/>
        <v>2030e</v>
      </c>
      <c r="AH75" s="257" t="s">
        <v>3</v>
      </c>
      <c r="AI75" s="8"/>
      <c r="AJ75" s="8"/>
      <c r="AK75" s="8"/>
    </row>
    <row r="76" ht="13.5" customHeight="1" spans="1:37" x14ac:dyDescent="0.25">
      <c r="A76" s="257"/>
      <c r="B76" s="8"/>
      <c r="C76" s="8"/>
      <c r="D76" s="8"/>
      <c r="E76" s="8"/>
      <c r="F76" s="308"/>
      <c r="G76" s="308"/>
      <c r="H76" s="399"/>
      <c r="I76" s="308"/>
      <c r="J76" s="8"/>
      <c r="K76" s="308"/>
      <c r="L76" s="308"/>
      <c r="M76" s="399"/>
      <c r="N76" s="308"/>
      <c r="O76" s="8"/>
      <c r="P76" s="308"/>
      <c r="Q76" s="308"/>
      <c r="R76" s="399"/>
      <c r="S76" s="308"/>
      <c r="T76" s="8"/>
      <c r="U76" s="308"/>
      <c r="V76" s="308"/>
      <c r="W76" s="399"/>
      <c r="X76" s="309"/>
      <c r="Y76" s="8"/>
      <c r="Z76" s="309"/>
      <c r="AA76" s="309"/>
      <c r="AB76" s="400"/>
      <c r="AC76" s="309"/>
      <c r="AD76" s="8"/>
      <c r="AE76" s="8"/>
      <c r="AF76" s="8"/>
      <c r="AG76" s="8"/>
      <c r="AH76" s="8"/>
      <c r="AI76" s="8"/>
      <c r="AJ76" s="8"/>
      <c r="AK76" s="8"/>
    </row>
    <row r="77" ht="13.5" customHeight="1" spans="1:37" x14ac:dyDescent="0.25">
      <c r="A77" s="257"/>
      <c r="B77" s="8"/>
      <c r="C77" s="130" t="s">
        <v>300</v>
      </c>
      <c r="D77" s="8"/>
      <c r="E77" s="8"/>
      <c r="F77" s="401"/>
      <c r="G77" s="401"/>
      <c r="H77" s="401"/>
      <c r="I77" s="401"/>
      <c r="J77" s="153"/>
      <c r="K77" s="401"/>
      <c r="L77" s="401"/>
      <c r="M77" s="401"/>
      <c r="N77" s="401"/>
      <c r="O77" s="153"/>
      <c r="P77" s="401"/>
      <c r="Q77" s="401"/>
      <c r="R77" s="401"/>
      <c r="S77" s="401"/>
      <c r="T77" s="153"/>
      <c r="U77" s="401">
        <f>U51</f>
        <v>4152.631</v>
      </c>
      <c r="V77" s="401">
        <f>V51</f>
        <v>4379.486</v>
      </c>
      <c r="W77" s="401">
        <f>W51</f>
        <v>4358.186</v>
      </c>
      <c r="X77" s="358">
        <f>X110</f>
        <v>566.8519263406029</v>
      </c>
      <c r="Y77" s="153">
        <f t="shared" ref="Y77:Y82" si="20">SUM(U77:X77)</f>
        <v>2596.1549263406027</v>
      </c>
      <c r="Z77" s="358">
        <f>Z45</f>
        <v>568.1117253323134</v>
      </c>
      <c r="AA77" s="358">
        <f>AA45</f>
        <v>637.5927105870192</v>
      </c>
      <c r="AB77" s="358">
        <f>AB45</f>
        <v>647.9805492786331</v>
      </c>
      <c r="AC77" s="358">
        <f>AC45</f>
        <v>628.4469917691944</v>
      </c>
      <c r="AD77" s="153">
        <f t="shared" ref="AD77:AD82" si="21">SUM(Z77:AC77)</f>
        <v>2482.13197696716</v>
      </c>
      <c r="AE77" s="153">
        <f>AE45</f>
        <v>2803.4172936509563</v>
      </c>
      <c r="AF77" s="153">
        <f>AF45</f>
        <v>2919.298888274219</v>
      </c>
      <c r="AG77" s="153">
        <f>AG45</f>
        <v>3107.5490560437593</v>
      </c>
      <c r="AH77" s="8"/>
      <c r="AI77" s="8"/>
      <c r="AJ77" s="8"/>
      <c r="AK77" s="8"/>
    </row>
    <row r="78" ht="13.5" customHeight="1" spans="1:37" x14ac:dyDescent="0.25">
      <c r="A78" s="257"/>
      <c r="B78" s="8"/>
      <c r="C78" s="130" t="s">
        <v>271</v>
      </c>
      <c r="D78" s="8"/>
      <c r="E78" s="8"/>
      <c r="F78" s="401"/>
      <c r="G78" s="401"/>
      <c r="H78" s="401"/>
      <c r="I78" s="401"/>
      <c r="J78" s="153"/>
      <c r="K78" s="401"/>
      <c r="L78" s="401"/>
      <c r="M78" s="401"/>
      <c r="N78" s="401"/>
      <c r="O78" s="153"/>
      <c r="P78" s="401"/>
      <c r="Q78" s="401"/>
      <c r="R78" s="401"/>
      <c r="S78" s="401"/>
      <c r="T78" s="153"/>
      <c r="U78" s="401"/>
      <c r="V78" s="401"/>
      <c r="W78" s="401"/>
      <c r="X78" s="358">
        <f>-(X197+X211)</f>
        <v>494.4525422831382</v>
      </c>
      <c r="Y78" s="153">
        <f t="shared" si="20"/>
        <v>494.4525422831382</v>
      </c>
      <c r="Z78" s="358">
        <f>-(Z197+Z211)</f>
        <v>485.2960137223393</v>
      </c>
      <c r="AA78" s="358">
        <f>-(AA197+AA211)</f>
        <v>485.93052936790724</v>
      </c>
      <c r="AB78" s="358">
        <f>-(AB197+AB211)</f>
        <v>486.65053926761317</v>
      </c>
      <c r="AC78" s="358">
        <f>-(AC197+AC211)</f>
        <v>487.72771209352163</v>
      </c>
      <c r="AD78" s="153">
        <f t="shared" si="21"/>
        <v>1945.6047944513814</v>
      </c>
      <c r="AE78" s="153">
        <f>-(AE197+AE211)</f>
        <v>1977.3332418248879</v>
      </c>
      <c r="AF78" s="153">
        <f>-(AF197+AF211)</f>
        <v>2085.257924525477</v>
      </c>
      <c r="AG78" s="153">
        <f>-(AG197+AG211)</f>
        <v>2190.6617597324716</v>
      </c>
      <c r="AH78" s="8"/>
      <c r="AI78" s="8"/>
      <c r="AJ78" s="8"/>
      <c r="AK78" s="8"/>
    </row>
    <row r="79" ht="13.5" customHeight="1" spans="1:37" x14ac:dyDescent="0.25">
      <c r="A79" s="257"/>
      <c r="B79" s="8"/>
      <c r="C79" s="130" t="s">
        <v>301</v>
      </c>
      <c r="D79" s="8"/>
      <c r="E79" s="8"/>
      <c r="F79" s="356"/>
      <c r="G79" s="356"/>
      <c r="H79" s="356"/>
      <c r="I79" s="356"/>
      <c r="J79" s="153"/>
      <c r="K79" s="356"/>
      <c r="L79" s="356"/>
      <c r="M79" s="356"/>
      <c r="N79" s="356"/>
      <c r="O79" s="153"/>
      <c r="P79" s="356"/>
      <c r="Q79" s="356"/>
      <c r="R79" s="356"/>
      <c r="S79" s="356"/>
      <c r="T79" s="153"/>
      <c r="U79" s="401"/>
      <c r="V79" s="401"/>
      <c r="W79" s="356"/>
      <c r="X79" s="358">
        <f>X249</f>
        <v>0</v>
      </c>
      <c r="Y79" s="153">
        <f t="shared" si="20"/>
        <v>0</v>
      </c>
      <c r="Z79" s="358">
        <f>Z249</f>
        <v>0</v>
      </c>
      <c r="AA79" s="358">
        <f>AA249</f>
        <v>0</v>
      </c>
      <c r="AB79" s="358">
        <f>AB249</f>
        <v>0</v>
      </c>
      <c r="AC79" s="358">
        <f>AC249</f>
        <v>0</v>
      </c>
      <c r="AD79" s="153">
        <f t="shared" si="21"/>
        <v>0</v>
      </c>
      <c r="AE79" s="153">
        <f>AE249</f>
        <v>0</v>
      </c>
      <c r="AF79" s="153">
        <f>AF249</f>
        <v>0</v>
      </c>
      <c r="AG79" s="153">
        <f>AG249</f>
        <v>0</v>
      </c>
      <c r="AH79" s="8"/>
      <c r="AI79" s="8"/>
      <c r="AJ79" s="8"/>
      <c r="AK79" s="8"/>
    </row>
    <row r="80" ht="13.5" customHeight="1" spans="1:37" x14ac:dyDescent="0.25">
      <c r="A80" s="257"/>
      <c r="B80" s="8"/>
      <c r="C80" s="130" t="s">
        <v>302</v>
      </c>
      <c r="D80" s="8"/>
      <c r="E80" s="8"/>
      <c r="F80" s="356"/>
      <c r="G80" s="356"/>
      <c r="H80" s="356"/>
      <c r="I80" s="356"/>
      <c r="J80" s="153"/>
      <c r="K80" s="356"/>
      <c r="L80" s="356"/>
      <c r="M80" s="356"/>
      <c r="N80" s="356"/>
      <c r="O80" s="153"/>
      <c r="P80" s="356"/>
      <c r="Q80" s="356"/>
      <c r="R80" s="356"/>
      <c r="S80" s="356"/>
      <c r="T80" s="153"/>
      <c r="U80" s="402"/>
      <c r="V80" s="402"/>
      <c r="W80" s="356"/>
      <c r="X80" s="358">
        <f>X177</f>
        <v>1792.3934464618987</v>
      </c>
      <c r="Y80" s="153">
        <f t="shared" si="20"/>
        <v>1792.3934464618987</v>
      </c>
      <c r="Z80" s="358">
        <f>Z177</f>
        <v>125.09122636977963</v>
      </c>
      <c r="AA80" s="358">
        <f>AA177</f>
        <v>162.83234454034618</v>
      </c>
      <c r="AB80" s="358">
        <f>AB177</f>
        <v>-55.2497801297809</v>
      </c>
      <c r="AC80" s="358">
        <f>AC177</f>
        <v>-61.348404290095004</v>
      </c>
      <c r="AD80" s="153">
        <f t="shared" si="21"/>
        <v>171.3253864902499</v>
      </c>
      <c r="AE80" s="153">
        <f>AE177</f>
        <v>29.902062850237144</v>
      </c>
      <c r="AF80" s="153">
        <f>AF177</f>
        <v>143.65414243016312</v>
      </c>
      <c r="AG80" s="153">
        <f>AG177</f>
        <v>102.8014700442859</v>
      </c>
      <c r="AH80" s="8"/>
      <c r="AI80" s="8"/>
      <c r="AJ80" s="8"/>
      <c r="AK80" s="8"/>
    </row>
    <row r="81" ht="13.5" customHeight="1" spans="1:37" x14ac:dyDescent="0.25">
      <c r="A81" s="257"/>
      <c r="B81" s="8"/>
      <c r="C81" s="130" t="s">
        <v>303</v>
      </c>
      <c r="D81" s="8"/>
      <c r="E81" s="8"/>
      <c r="F81" s="350"/>
      <c r="G81" s="350"/>
      <c r="H81" s="350"/>
      <c r="I81" s="350"/>
      <c r="J81" s="351"/>
      <c r="K81" s="350"/>
      <c r="L81" s="350"/>
      <c r="M81" s="350"/>
      <c r="N81" s="350"/>
      <c r="O81" s="351"/>
      <c r="P81" s="350"/>
      <c r="Q81" s="350"/>
      <c r="R81" s="350"/>
      <c r="S81" s="350"/>
      <c r="T81" s="351"/>
      <c r="U81" s="403"/>
      <c r="V81" s="403"/>
      <c r="W81" s="350"/>
      <c r="X81" s="353">
        <f>X231</f>
        <v>-102.8</v>
      </c>
      <c r="Y81" s="351">
        <f t="shared" si="20"/>
        <v>-102.8</v>
      </c>
      <c r="Z81" s="353">
        <f>Z231</f>
        <v>0</v>
      </c>
      <c r="AA81" s="353">
        <f>AA231</f>
        <v>0</v>
      </c>
      <c r="AB81" s="353">
        <f>AB231</f>
        <v>0</v>
      </c>
      <c r="AC81" s="353">
        <f>AC231</f>
        <v>0</v>
      </c>
      <c r="AD81" s="351">
        <f t="shared" si="21"/>
        <v>0</v>
      </c>
      <c r="AE81" s="351">
        <f>AE231</f>
        <v>0</v>
      </c>
      <c r="AF81" s="351">
        <f>AF231</f>
        <v>0</v>
      </c>
      <c r="AG81" s="351">
        <f>AG231</f>
        <v>0</v>
      </c>
      <c r="AH81" s="8"/>
      <c r="AI81" s="8"/>
      <c r="AJ81" s="8"/>
      <c r="AK81" s="8"/>
    </row>
    <row r="82" ht="13.5" customHeight="1" spans="1:37" x14ac:dyDescent="0.25">
      <c r="A82" s="257"/>
      <c r="B82" s="8"/>
      <c r="C82" s="130" t="s">
        <v>304</v>
      </c>
      <c r="D82" s="8"/>
      <c r="E82" s="8"/>
      <c r="F82" s="348"/>
      <c r="G82" s="348"/>
      <c r="H82" s="348"/>
      <c r="I82" s="348"/>
      <c r="J82" s="275"/>
      <c r="K82" s="348"/>
      <c r="L82" s="348"/>
      <c r="M82" s="348"/>
      <c r="N82" s="348"/>
      <c r="O82" s="275"/>
      <c r="P82" s="348"/>
      <c r="Q82" s="348"/>
      <c r="R82" s="348"/>
      <c r="S82" s="348"/>
      <c r="T82" s="275"/>
      <c r="U82" s="404"/>
      <c r="V82" s="404"/>
      <c r="W82" s="348"/>
      <c r="X82" s="274">
        <f>SUM(X77:X81)</f>
        <v>794.4357219454785</v>
      </c>
      <c r="Y82" s="275">
        <f t="shared" si="20"/>
        <v>794.4357219454785</v>
      </c>
      <c r="Z82" s="274">
        <f>SUM(Z77:Z81)</f>
        <v>1126.0523936718278</v>
      </c>
      <c r="AA82" s="274">
        <f>SUM(AA77:AA81)</f>
        <v>1231.9262091234918</v>
      </c>
      <c r="AB82" s="274">
        <f>SUM(AB77:AB81)</f>
        <v>1020.8799748767367</v>
      </c>
      <c r="AC82" s="274">
        <f>SUM(AC77:AC81)</f>
        <v>991.8386321855039</v>
      </c>
      <c r="AD82" s="275">
        <f t="shared" si="21"/>
        <v>4370.697209857561</v>
      </c>
      <c r="AE82" s="275">
        <f>SUM(AE77:AE81)</f>
        <v>4797.045933825331</v>
      </c>
      <c r="AF82" s="275">
        <f>SUM(AF77:AF81)</f>
        <v>5133.676847283178</v>
      </c>
      <c r="AG82" s="275">
        <f>SUM(AG77:AG81)</f>
        <v>5374.771735949027</v>
      </c>
      <c r="AH82" s="8"/>
      <c r="AI82" s="8"/>
      <c r="AJ82" s="8"/>
      <c r="AK82" s="8"/>
    </row>
    <row r="83" ht="13.5" customHeight="1" spans="1:37" x14ac:dyDescent="0.25">
      <c r="A83" s="257"/>
      <c r="B83" s="8"/>
      <c r="C83" s="8"/>
      <c r="D83" s="8"/>
      <c r="E83" s="8"/>
      <c r="F83" s="308"/>
      <c r="G83" s="348"/>
      <c r="H83" s="348"/>
      <c r="I83" s="308"/>
      <c r="J83" s="8"/>
      <c r="K83" s="308"/>
      <c r="L83" s="348"/>
      <c r="M83" s="348"/>
      <c r="N83" s="308"/>
      <c r="O83" s="8"/>
      <c r="P83" s="308"/>
      <c r="Q83" s="348"/>
      <c r="R83" s="348"/>
      <c r="S83" s="308"/>
      <c r="T83" s="8"/>
      <c r="U83" s="308"/>
      <c r="V83" s="348"/>
      <c r="W83" s="348"/>
      <c r="X83" s="274"/>
      <c r="Y83" s="8"/>
      <c r="Z83" s="274"/>
      <c r="AA83" s="274"/>
      <c r="AB83" s="274"/>
      <c r="AC83" s="274"/>
      <c r="AD83" s="8"/>
      <c r="AE83" s="275"/>
      <c r="AF83" s="275"/>
      <c r="AG83" s="275"/>
      <c r="AH83" s="8"/>
      <c r="AI83" s="8"/>
      <c r="AJ83" s="8"/>
      <c r="AK83" s="8"/>
    </row>
    <row r="84" ht="13.5" customHeight="1" spans="1:37" x14ac:dyDescent="0.25">
      <c r="A84" s="257"/>
      <c r="B84" s="8"/>
      <c r="C84" s="130" t="s">
        <v>118</v>
      </c>
      <c r="D84" s="8"/>
      <c r="E84" s="8"/>
      <c r="F84" s="356"/>
      <c r="G84" s="356"/>
      <c r="H84" s="356"/>
      <c r="I84" s="356"/>
      <c r="J84" s="153"/>
      <c r="K84" s="356"/>
      <c r="L84" s="356"/>
      <c r="M84" s="356"/>
      <c r="N84" s="356"/>
      <c r="O84" s="153"/>
      <c r="P84" s="356"/>
      <c r="Q84" s="356"/>
      <c r="R84" s="356"/>
      <c r="S84" s="356"/>
      <c r="T84" s="153"/>
      <c r="U84" s="356"/>
      <c r="V84" s="356"/>
      <c r="W84" s="356"/>
      <c r="X84" s="358">
        <f>-X196</f>
        <v>-527.8620377467499</v>
      </c>
      <c r="Y84" s="153">
        <f>SUM(U84:X84)</f>
        <v>-527.8620377467499</v>
      </c>
      <c r="Z84" s="358">
        <f>(-Z196)</f>
        <v>-483.81183375899997</v>
      </c>
      <c r="AA84" s="358">
        <f>-(AA196)</f>
        <v>-523.641622524</v>
      </c>
      <c r="AB84" s="358">
        <f>(AB196)*-1</f>
        <v>-503.1368209999999</v>
      </c>
      <c r="AC84" s="358">
        <f>(AC196)*-1</f>
        <v>-529.153423344</v>
      </c>
      <c r="AD84" s="153">
        <f>(SUM(Z84:AC84))</f>
        <v>-2039.7437006269997</v>
      </c>
      <c r="AE84" s="153">
        <f>(-AE196)</f>
        <v>-2054.90196135753</v>
      </c>
      <c r="AF84" s="153">
        <f>(-AF196)</f>
        <v>-2115.5227836755053</v>
      </c>
      <c r="AG84" s="153">
        <f>(-AG196)</f>
        <v>-2229.7814324122173</v>
      </c>
      <c r="AH84" s="8"/>
      <c r="AI84" s="8"/>
      <c r="AJ84" s="8"/>
      <c r="AK84" s="8"/>
    </row>
    <row r="85" ht="13.5" customHeight="1" spans="1:37" x14ac:dyDescent="0.25">
      <c r="A85" s="257"/>
      <c r="B85" s="8"/>
      <c r="C85" s="130" t="s">
        <v>305</v>
      </c>
      <c r="D85" s="8"/>
      <c r="E85" s="8"/>
      <c r="F85" s="356"/>
      <c r="G85" s="356"/>
      <c r="H85" s="356"/>
      <c r="I85" s="356"/>
      <c r="J85" s="153"/>
      <c r="K85" s="356"/>
      <c r="L85" s="356"/>
      <c r="M85" s="356"/>
      <c r="N85" s="356"/>
      <c r="O85" s="153"/>
      <c r="P85" s="356"/>
      <c r="Q85" s="356"/>
      <c r="R85" s="356"/>
      <c r="S85" s="356"/>
      <c r="T85" s="153"/>
      <c r="U85" s="356"/>
      <c r="V85" s="356"/>
      <c r="W85" s="356"/>
      <c r="X85" s="358">
        <f>-X210</f>
        <v>0</v>
      </c>
      <c r="Y85" s="153">
        <f>SUM(U85:X85)</f>
        <v>0</v>
      </c>
      <c r="Z85" s="358">
        <f>-Z210</f>
        <v>0</v>
      </c>
      <c r="AA85" s="358">
        <f>-AA210</f>
        <v>0</v>
      </c>
      <c r="AB85" s="358">
        <f>-AB210</f>
        <v>0</v>
      </c>
      <c r="AC85" s="358">
        <f>-AC210</f>
        <v>0</v>
      </c>
      <c r="AD85" s="153">
        <f>SUM(Z85:AC85)</f>
        <v>0</v>
      </c>
      <c r="AE85" s="153">
        <f>-AE210</f>
        <v>0</v>
      </c>
      <c r="AF85" s="153">
        <f>-AF210</f>
        <v>0</v>
      </c>
      <c r="AG85" s="153">
        <f>-AG210</f>
        <v>0</v>
      </c>
      <c r="AH85" s="8"/>
      <c r="AI85" s="8"/>
      <c r="AJ85" s="8"/>
      <c r="AK85" s="8"/>
    </row>
    <row r="86" ht="13.5" customHeight="1" spans="1:37" x14ac:dyDescent="0.25">
      <c r="A86" s="257"/>
      <c r="B86" s="8"/>
      <c r="C86" s="130" t="s">
        <v>306</v>
      </c>
      <c r="D86" s="8"/>
      <c r="E86" s="8"/>
      <c r="F86" s="350"/>
      <c r="G86" s="350"/>
      <c r="H86" s="350"/>
      <c r="I86" s="350"/>
      <c r="J86" s="351"/>
      <c r="K86" s="350"/>
      <c r="L86" s="350"/>
      <c r="M86" s="350"/>
      <c r="N86" s="350"/>
      <c r="O86" s="351"/>
      <c r="P86" s="350"/>
      <c r="Q86" s="350"/>
      <c r="R86" s="350"/>
      <c r="S86" s="350"/>
      <c r="T86" s="351"/>
      <c r="U86" s="350"/>
      <c r="V86" s="350"/>
      <c r="W86" s="350"/>
      <c r="X86" s="405">
        <f>Drivers!X97</f>
        <v>0</v>
      </c>
      <c r="Y86" s="351">
        <f>SUM(U86:X86)</f>
        <v>0</v>
      </c>
      <c r="Z86" s="405">
        <f>Drivers!Z97</f>
        <v>0</v>
      </c>
      <c r="AA86" s="405">
        <f>Drivers!AA97</f>
        <v>0</v>
      </c>
      <c r="AB86" s="405">
        <f>Drivers!AB97</f>
        <v>0</v>
      </c>
      <c r="AC86" s="405">
        <f>Drivers!AC97</f>
        <v>0</v>
      </c>
      <c r="AD86" s="351">
        <f>SUM(Z86:AC86)</f>
        <v>0</v>
      </c>
      <c r="AE86" s="351">
        <f>Drivers!AE97</f>
        <v>0</v>
      </c>
      <c r="AF86" s="351">
        <f>Drivers!AF97</f>
        <v>0</v>
      </c>
      <c r="AG86" s="351">
        <f>Drivers!AG97</f>
        <v>0</v>
      </c>
      <c r="AH86" s="8"/>
      <c r="AI86" s="8"/>
      <c r="AJ86" s="8"/>
      <c r="AK86" s="8"/>
    </row>
    <row r="87" ht="13.5" customHeight="1" spans="1:37" x14ac:dyDescent="0.25">
      <c r="A87" s="257"/>
      <c r="B87" s="8"/>
      <c r="C87" s="130" t="s">
        <v>307</v>
      </c>
      <c r="D87" s="8"/>
      <c r="E87" s="8"/>
      <c r="F87" s="348"/>
      <c r="G87" s="348"/>
      <c r="H87" s="348"/>
      <c r="I87" s="348"/>
      <c r="J87" s="275"/>
      <c r="K87" s="348"/>
      <c r="L87" s="348"/>
      <c r="M87" s="348"/>
      <c r="N87" s="348"/>
      <c r="O87" s="275"/>
      <c r="P87" s="348"/>
      <c r="Q87" s="348"/>
      <c r="R87" s="348"/>
      <c r="S87" s="348"/>
      <c r="T87" s="275"/>
      <c r="U87" s="348"/>
      <c r="V87" s="348"/>
      <c r="W87" s="348"/>
      <c r="X87" s="274">
        <f>SUM(X84:X86)</f>
        <v>-527.8620377467499</v>
      </c>
      <c r="Y87" s="275">
        <f>SUM(U87:X87)</f>
        <v>-527.8620377467499</v>
      </c>
      <c r="Z87" s="274">
        <f>SUM(Z84:Z86)</f>
        <v>-483.81183375899997</v>
      </c>
      <c r="AA87" s="274">
        <f>SUM(AA84:AA86)</f>
        <v>-523.641622524</v>
      </c>
      <c r="AB87" s="274">
        <f>SUM(AB84:AB86)</f>
        <v>-503.1368209999999</v>
      </c>
      <c r="AC87" s="274">
        <f>SUM(AC84:AC86)</f>
        <v>-529.153423344</v>
      </c>
      <c r="AD87" s="275">
        <f>SUM(Z87:AC87)</f>
        <v>-2039.7437006269997</v>
      </c>
      <c r="AE87" s="275">
        <f>SUM(AE84:AE86)</f>
        <v>-2054.90196135753</v>
      </c>
      <c r="AF87" s="275">
        <f>SUM(AF84:AF86)</f>
        <v>-2115.5227836755053</v>
      </c>
      <c r="AG87" s="275">
        <f>SUM(AG84:AG86)</f>
        <v>-2229.7814324122173</v>
      </c>
      <c r="AH87" s="8"/>
      <c r="AI87" s="8"/>
      <c r="AJ87" s="8"/>
      <c r="AK87" s="8"/>
    </row>
    <row r="88" ht="13.5" customHeight="1" spans="1:37" x14ac:dyDescent="0.25">
      <c r="A88" s="257"/>
      <c r="B88" s="8"/>
      <c r="C88" s="8"/>
      <c r="D88" s="8"/>
      <c r="E88" s="8"/>
      <c r="F88" s="308"/>
      <c r="G88" s="348"/>
      <c r="H88" s="308"/>
      <c r="I88" s="308"/>
      <c r="J88" s="8"/>
      <c r="K88" s="308"/>
      <c r="L88" s="348"/>
      <c r="M88" s="308"/>
      <c r="N88" s="308"/>
      <c r="O88" s="8"/>
      <c r="P88" s="308"/>
      <c r="Q88" s="348"/>
      <c r="R88" s="348"/>
      <c r="S88" s="308"/>
      <c r="T88" s="8"/>
      <c r="U88" s="308"/>
      <c r="V88" s="348"/>
      <c r="W88" s="348"/>
      <c r="X88" s="309"/>
      <c r="Y88" s="8"/>
      <c r="Z88" s="309"/>
      <c r="AA88" s="309"/>
      <c r="AB88" s="309"/>
      <c r="AC88" s="309"/>
      <c r="AD88" s="8"/>
      <c r="AE88" s="8"/>
      <c r="AF88" s="8"/>
      <c r="AG88" s="8"/>
      <c r="AH88" s="8"/>
      <c r="AI88" s="8"/>
      <c r="AJ88" s="8"/>
      <c r="AK88" s="8"/>
    </row>
    <row r="89" ht="13.5" customHeight="1" spans="1:37" x14ac:dyDescent="0.25">
      <c r="A89" s="257"/>
      <c r="B89" s="406"/>
      <c r="C89" s="407" t="s">
        <v>308</v>
      </c>
      <c r="D89" s="91"/>
      <c r="E89" s="91"/>
      <c r="F89" s="408"/>
      <c r="G89" s="408"/>
      <c r="H89" s="408"/>
      <c r="I89" s="408"/>
      <c r="J89" s="409"/>
      <c r="K89" s="408"/>
      <c r="L89" s="408"/>
      <c r="M89" s="408"/>
      <c r="N89" s="408"/>
      <c r="O89" s="409"/>
      <c r="P89" s="408"/>
      <c r="Q89" s="408"/>
      <c r="R89" s="408"/>
      <c r="S89" s="408"/>
      <c r="T89" s="409"/>
      <c r="U89" s="408"/>
      <c r="V89" s="408"/>
      <c r="W89" s="408"/>
      <c r="X89" s="410">
        <f>SUM(X82,X87)</f>
        <v>266.57368419872853</v>
      </c>
      <c r="Y89" s="409">
        <f>SUM(U89:X89)</f>
        <v>266.57368419872853</v>
      </c>
      <c r="Z89" s="410">
        <f>SUM(Z82,Z87)</f>
        <v>642.2405599128278</v>
      </c>
      <c r="AA89" s="410">
        <f>SUM(AA82,AA87)</f>
        <v>708.2845865994918</v>
      </c>
      <c r="AB89" s="410">
        <f>SUM(AB82,AB87)</f>
        <v>517.7431538767369</v>
      </c>
      <c r="AC89" s="410">
        <f>SUM(AC82,AC87)</f>
        <v>462.68520884150394</v>
      </c>
      <c r="AD89" s="409">
        <f>SUM(Z89:AC89)</f>
        <v>2330.9535092305605</v>
      </c>
      <c r="AE89" s="409">
        <f>SUM(AE82,AE87)</f>
        <v>2742.143972467801</v>
      </c>
      <c r="AF89" s="409">
        <f>SUM(AF82,AF87)</f>
        <v>3018.154063607673</v>
      </c>
      <c r="AG89" s="409">
        <f>SUM(AG82,AG87)</f>
        <v>3144.9903035368097</v>
      </c>
      <c r="AH89" s="8"/>
      <c r="AI89" s="8"/>
      <c r="AJ89" s="8"/>
      <c r="AK89" s="8"/>
    </row>
    <row r="90" ht="13.5" customHeight="1" spans="1:37" x14ac:dyDescent="0.25">
      <c r="A90" s="257"/>
      <c r="B90" s="8"/>
      <c r="C90" s="8"/>
      <c r="D90" s="8"/>
      <c r="E90" s="8"/>
      <c r="F90" s="308"/>
      <c r="G90" s="308"/>
      <c r="H90" s="308"/>
      <c r="I90" s="308"/>
      <c r="J90" s="8"/>
      <c r="K90" s="308"/>
      <c r="L90" s="308"/>
      <c r="M90" s="308"/>
      <c r="N90" s="308"/>
      <c r="O90" s="8"/>
      <c r="P90" s="308"/>
      <c r="Q90" s="308"/>
      <c r="R90" s="308"/>
      <c r="S90" s="308"/>
      <c r="T90" s="8"/>
      <c r="U90" s="308"/>
      <c r="V90" s="308"/>
      <c r="W90" s="308"/>
      <c r="X90" s="309"/>
      <c r="Y90" s="8"/>
      <c r="Z90" s="309"/>
      <c r="AA90" s="309"/>
      <c r="AB90" s="309"/>
      <c r="AC90" s="309"/>
      <c r="AD90" s="8"/>
      <c r="AE90" s="8"/>
      <c r="AF90" s="8"/>
      <c r="AG90" s="8"/>
      <c r="AH90" s="8"/>
      <c r="AI90" s="8"/>
      <c r="AJ90" s="8"/>
      <c r="AK90" s="8"/>
    </row>
    <row r="91" ht="13.5" customHeight="1" spans="1:37" x14ac:dyDescent="0.25">
      <c r="A91" s="257"/>
      <c r="B91" s="8"/>
      <c r="C91" s="130" t="s">
        <v>309</v>
      </c>
      <c r="D91" s="8"/>
      <c r="E91" s="8"/>
      <c r="F91" s="356"/>
      <c r="G91" s="356"/>
      <c r="H91" s="356"/>
      <c r="I91" s="356"/>
      <c r="J91" s="153"/>
      <c r="K91" s="356"/>
      <c r="L91" s="356"/>
      <c r="M91" s="356"/>
      <c r="N91" s="356"/>
      <c r="O91" s="153"/>
      <c r="P91" s="356"/>
      <c r="Q91" s="356"/>
      <c r="R91" s="356"/>
      <c r="S91" s="356"/>
      <c r="T91" s="153"/>
      <c r="U91" s="356"/>
      <c r="V91" s="356"/>
      <c r="W91" s="356"/>
      <c r="X91" s="358">
        <f>X306</f>
        <v>144.75856346091928</v>
      </c>
      <c r="Y91" s="153">
        <f t="shared" ref="Y91:Y98" si="22">SUM(U91:X91)</f>
        <v>144.75856346091928</v>
      </c>
      <c r="Z91" s="358">
        <f>Z306</f>
        <v>105.84489181253446</v>
      </c>
      <c r="AA91" s="358">
        <f>AA306</f>
        <v>293.00155435436494</v>
      </c>
      <c r="AB91" s="358">
        <f>AB306</f>
        <v>680.4020400277569</v>
      </c>
      <c r="AC91" s="358">
        <f>AC306</f>
        <v>892.3402830960487</v>
      </c>
      <c r="AD91" s="153">
        <f t="shared" ref="AD91:AD98" si="23">SUM(Z91:AC91)</f>
        <v>1971.588769290705</v>
      </c>
      <c r="AE91" s="153">
        <f>AE306</f>
        <v>193.74794006641514</v>
      </c>
      <c r="AF91" s="153">
        <f>AF306</f>
        <v>605.6771487734902</v>
      </c>
      <c r="AG91" s="153">
        <f>AG306</f>
        <v>764.8993195580316</v>
      </c>
      <c r="AH91" s="8"/>
      <c r="AI91" s="8"/>
      <c r="AJ91" s="8"/>
      <c r="AK91" s="8"/>
    </row>
    <row r="92" ht="13.5" customHeight="1" spans="1:37" x14ac:dyDescent="0.25">
      <c r="A92" s="257"/>
      <c r="B92" s="8"/>
      <c r="C92" s="130" t="s">
        <v>310</v>
      </c>
      <c r="D92" s="8"/>
      <c r="E92" s="8"/>
      <c r="F92" s="356"/>
      <c r="G92" s="356"/>
      <c r="H92" s="356"/>
      <c r="I92" s="356"/>
      <c r="J92" s="153"/>
      <c r="K92" s="356"/>
      <c r="L92" s="356"/>
      <c r="M92" s="356"/>
      <c r="N92" s="356"/>
      <c r="O92" s="153"/>
      <c r="P92" s="356"/>
      <c r="Q92" s="356"/>
      <c r="R92" s="356"/>
      <c r="S92" s="356"/>
      <c r="T92" s="153"/>
      <c r="U92" s="356"/>
      <c r="V92" s="356"/>
      <c r="W92" s="356"/>
      <c r="X92" s="358">
        <f>X311</f>
        <v>250</v>
      </c>
      <c r="Y92" s="153">
        <f t="shared" si="22"/>
        <v>250</v>
      </c>
      <c r="Z92" s="358">
        <f t="shared" ref="Z92:AC93" si="24">Z311</f>
        <v>600</v>
      </c>
      <c r="AA92" s="358">
        <f t="shared" si="24"/>
        <v>0</v>
      </c>
      <c r="AB92" s="358">
        <f t="shared" si="24"/>
        <v>0</v>
      </c>
      <c r="AC92" s="358">
        <f t="shared" si="24"/>
        <v>0</v>
      </c>
      <c r="AD92" s="153">
        <f t="shared" si="23"/>
        <v>600</v>
      </c>
      <c r="AE92" s="153">
        <f t="shared" ref="AE92:AG93" si="25">AE311</f>
        <v>600</v>
      </c>
      <c r="AF92" s="153">
        <f t="shared" si="25"/>
        <v>0</v>
      </c>
      <c r="AG92" s="153">
        <f t="shared" si="25"/>
        <v>0</v>
      </c>
      <c r="AH92" s="8"/>
      <c r="AI92" s="8"/>
      <c r="AJ92" s="8"/>
      <c r="AK92" s="8"/>
    </row>
    <row r="93" ht="13.5" customHeight="1" spans="1:37" x14ac:dyDescent="0.25">
      <c r="A93" s="257"/>
      <c r="B93" s="8"/>
      <c r="C93" s="130" t="s">
        <v>311</v>
      </c>
      <c r="D93" s="8"/>
      <c r="E93" s="8"/>
      <c r="F93" s="356"/>
      <c r="G93" s="356"/>
      <c r="H93" s="356"/>
      <c r="I93" s="356"/>
      <c r="J93" s="153"/>
      <c r="K93" s="356"/>
      <c r="L93" s="356"/>
      <c r="M93" s="356"/>
      <c r="N93" s="356"/>
      <c r="O93" s="153"/>
      <c r="P93" s="356"/>
      <c r="Q93" s="356"/>
      <c r="R93" s="356"/>
      <c r="S93" s="356"/>
      <c r="T93" s="153"/>
      <c r="U93" s="356"/>
      <c r="V93" s="356"/>
      <c r="W93" s="356"/>
      <c r="X93" s="358">
        <f>X312</f>
        <v>0</v>
      </c>
      <c r="Y93" s="153">
        <f t="shared" si="22"/>
        <v>0</v>
      </c>
      <c r="Z93" s="358">
        <f t="shared" si="24"/>
        <v>-600</v>
      </c>
      <c r="AA93" s="358">
        <f t="shared" si="24"/>
        <v>-600</v>
      </c>
      <c r="AB93" s="358">
        <f t="shared" si="24"/>
        <v>-600</v>
      </c>
      <c r="AC93" s="358">
        <f t="shared" si="24"/>
        <v>-600</v>
      </c>
      <c r="AD93" s="153">
        <f t="shared" si="23"/>
        <v>-2400</v>
      </c>
      <c r="AE93" s="153">
        <f t="shared" si="25"/>
        <v>-600</v>
      </c>
      <c r="AF93" s="153">
        <f t="shared" si="25"/>
        <v>-600</v>
      </c>
      <c r="AG93" s="153">
        <f t="shared" si="25"/>
        <v>-600</v>
      </c>
      <c r="AH93" s="8"/>
      <c r="AI93" s="8"/>
      <c r="AJ93" s="8"/>
      <c r="AK93" s="8"/>
    </row>
    <row r="94" ht="13.5" customHeight="1" spans="1:37" x14ac:dyDescent="0.25">
      <c r="A94" s="257"/>
      <c r="B94" s="8"/>
      <c r="C94" s="130" t="s">
        <v>312</v>
      </c>
      <c r="D94" s="8"/>
      <c r="E94" s="8"/>
      <c r="F94" s="356"/>
      <c r="G94" s="356"/>
      <c r="H94" s="356"/>
      <c r="I94" s="356"/>
      <c r="J94" s="153"/>
      <c r="K94" s="356"/>
      <c r="L94" s="356"/>
      <c r="M94" s="356"/>
      <c r="N94" s="356"/>
      <c r="O94" s="153"/>
      <c r="P94" s="356"/>
      <c r="Q94" s="356"/>
      <c r="R94" s="356"/>
      <c r="S94" s="356"/>
      <c r="T94" s="153"/>
      <c r="U94" s="356"/>
      <c r="V94" s="356"/>
      <c r="W94" s="356"/>
      <c r="X94" s="358">
        <f>X248</f>
        <v>0</v>
      </c>
      <c r="Y94" s="153">
        <f t="shared" si="22"/>
        <v>0</v>
      </c>
      <c r="Z94" s="358">
        <f>Z248</f>
        <v>0</v>
      </c>
      <c r="AA94" s="358">
        <f>AA248</f>
        <v>0</v>
      </c>
      <c r="AB94" s="358">
        <f>AB248</f>
        <v>0</v>
      </c>
      <c r="AC94" s="358">
        <f>AC248</f>
        <v>0</v>
      </c>
      <c r="AD94" s="153">
        <f t="shared" si="23"/>
        <v>0</v>
      </c>
      <c r="AE94" s="153">
        <f>AE248</f>
        <v>0</v>
      </c>
      <c r="AF94" s="153">
        <f>AF248</f>
        <v>0</v>
      </c>
      <c r="AG94" s="153">
        <f>AG248</f>
        <v>0</v>
      </c>
      <c r="AH94" s="8"/>
      <c r="AI94" s="8"/>
      <c r="AJ94" s="8"/>
      <c r="AK94" s="8"/>
    </row>
    <row r="95" ht="13.5" customHeight="1" spans="1:37" x14ac:dyDescent="0.25">
      <c r="A95" s="257"/>
      <c r="B95" s="8"/>
      <c r="C95" s="130" t="s">
        <v>313</v>
      </c>
      <c r="D95" s="8"/>
      <c r="E95" s="8"/>
      <c r="F95" s="356"/>
      <c r="G95" s="356"/>
      <c r="H95" s="356"/>
      <c r="I95" s="356"/>
      <c r="J95" s="153"/>
      <c r="K95" s="356"/>
      <c r="L95" s="356"/>
      <c r="M95" s="356"/>
      <c r="N95" s="356"/>
      <c r="O95" s="153"/>
      <c r="P95" s="356"/>
      <c r="Q95" s="356"/>
      <c r="R95" s="356"/>
      <c r="S95" s="356"/>
      <c r="T95" s="153"/>
      <c r="U95" s="356"/>
      <c r="V95" s="356"/>
      <c r="W95" s="356"/>
      <c r="X95" s="358">
        <f>-X244</f>
        <v>0</v>
      </c>
      <c r="Y95" s="153">
        <f t="shared" si="22"/>
        <v>0</v>
      </c>
      <c r="Z95" s="358">
        <f>-Z244</f>
        <v>-550</v>
      </c>
      <c r="AA95" s="358">
        <f>-AA244</f>
        <v>0</v>
      </c>
      <c r="AB95" s="358">
        <f>-AB244</f>
        <v>0</v>
      </c>
      <c r="AC95" s="358">
        <f>-AC244</f>
        <v>0</v>
      </c>
      <c r="AD95" s="153">
        <f t="shared" si="23"/>
        <v>-550</v>
      </c>
      <c r="AE95" s="153">
        <f>-AE244</f>
        <v>-600</v>
      </c>
      <c r="AF95" s="153">
        <f>-AF244</f>
        <v>-650</v>
      </c>
      <c r="AG95" s="153">
        <f>-AG244</f>
        <v>-700</v>
      </c>
      <c r="AH95" s="8"/>
      <c r="AI95" s="8"/>
      <c r="AJ95" s="8"/>
      <c r="AK95" s="8"/>
    </row>
    <row r="96" ht="13.5" customHeight="1" spans="1:37" x14ac:dyDescent="0.25">
      <c r="A96" s="257"/>
      <c r="B96" s="8"/>
      <c r="C96" s="130" t="s">
        <v>314</v>
      </c>
      <c r="D96" s="8"/>
      <c r="E96" s="8"/>
      <c r="F96" s="356"/>
      <c r="G96" s="356"/>
      <c r="H96" s="356"/>
      <c r="I96" s="356"/>
      <c r="J96" s="153"/>
      <c r="K96" s="356"/>
      <c r="L96" s="356"/>
      <c r="M96" s="356"/>
      <c r="N96" s="356"/>
      <c r="O96" s="153"/>
      <c r="P96" s="356"/>
      <c r="Q96" s="356"/>
      <c r="R96" s="356"/>
      <c r="S96" s="356"/>
      <c r="T96" s="153"/>
      <c r="U96" s="356"/>
      <c r="V96" s="356"/>
      <c r="W96" s="356"/>
      <c r="X96" s="358">
        <f>-X270</f>
        <v>0</v>
      </c>
      <c r="Y96" s="153">
        <f t="shared" si="22"/>
        <v>0</v>
      </c>
      <c r="Z96" s="358">
        <f>-Z270</f>
        <v>0</v>
      </c>
      <c r="AA96" s="358">
        <f>-AA270</f>
        <v>0</v>
      </c>
      <c r="AB96" s="358">
        <f>-AB270</f>
        <v>0</v>
      </c>
      <c r="AC96" s="358">
        <f>-AC270</f>
        <v>0</v>
      </c>
      <c r="AD96" s="153">
        <f t="shared" si="23"/>
        <v>0</v>
      </c>
      <c r="AE96" s="153">
        <f>-AE270</f>
        <v>0</v>
      </c>
      <c r="AF96" s="153">
        <f>-AF270</f>
        <v>0</v>
      </c>
      <c r="AG96" s="153">
        <f>-AG270</f>
        <v>0</v>
      </c>
      <c r="AH96" s="8"/>
      <c r="AI96" s="8"/>
      <c r="AJ96" s="8"/>
      <c r="AK96" s="8"/>
    </row>
    <row r="97" ht="13.5" customHeight="1" spans="1:37" x14ac:dyDescent="0.25">
      <c r="A97" s="257"/>
      <c r="B97" s="8"/>
      <c r="C97" s="130" t="s">
        <v>315</v>
      </c>
      <c r="D97" s="8"/>
      <c r="E97" s="8"/>
      <c r="F97" s="350"/>
      <c r="G97" s="350"/>
      <c r="H97" s="350"/>
      <c r="I97" s="350"/>
      <c r="J97" s="351"/>
      <c r="K97" s="350"/>
      <c r="L97" s="350"/>
      <c r="M97" s="350"/>
      <c r="N97" s="350"/>
      <c r="O97" s="351"/>
      <c r="P97" s="350"/>
      <c r="Q97" s="350"/>
      <c r="R97" s="350"/>
      <c r="S97" s="350"/>
      <c r="T97" s="351"/>
      <c r="U97" s="350"/>
      <c r="V97" s="350"/>
      <c r="W97" s="350"/>
      <c r="X97" s="405">
        <f>Drivers!X106</f>
        <v>0</v>
      </c>
      <c r="Y97" s="351">
        <f t="shared" si="22"/>
        <v>0</v>
      </c>
      <c r="Z97" s="405">
        <f>Drivers!Z106</f>
        <v>0</v>
      </c>
      <c r="AA97" s="405">
        <f>Drivers!AA106</f>
        <v>0</v>
      </c>
      <c r="AB97" s="405">
        <f>Drivers!AB106</f>
        <v>0</v>
      </c>
      <c r="AC97" s="405">
        <f>Drivers!AC106</f>
        <v>0</v>
      </c>
      <c r="AD97" s="351">
        <f t="shared" si="23"/>
        <v>0</v>
      </c>
      <c r="AE97" s="411">
        <f>Drivers!AE106</f>
        <v>0</v>
      </c>
      <c r="AF97" s="411">
        <f>Drivers!AF106</f>
        <v>0</v>
      </c>
      <c r="AG97" s="411">
        <f>Drivers!AG106</f>
        <v>0</v>
      </c>
      <c r="AH97" s="8"/>
      <c r="AI97" s="8"/>
      <c r="AJ97" s="8"/>
      <c r="AK97" s="8"/>
    </row>
    <row r="98" ht="13.5" customHeight="1" spans="1:37" x14ac:dyDescent="0.25">
      <c r="A98" s="257"/>
      <c r="B98" s="8"/>
      <c r="C98" s="130" t="s">
        <v>316</v>
      </c>
      <c r="D98" s="8"/>
      <c r="E98" s="8"/>
      <c r="F98" s="348"/>
      <c r="G98" s="348"/>
      <c r="H98" s="348"/>
      <c r="I98" s="348"/>
      <c r="J98" s="275"/>
      <c r="K98" s="348"/>
      <c r="L98" s="348"/>
      <c r="M98" s="348"/>
      <c r="N98" s="348"/>
      <c r="O98" s="275"/>
      <c r="P98" s="348"/>
      <c r="Q98" s="348"/>
      <c r="R98" s="348"/>
      <c r="S98" s="348"/>
      <c r="T98" s="275"/>
      <c r="U98" s="348"/>
      <c r="V98" s="348"/>
      <c r="W98" s="348"/>
      <c r="X98" s="274">
        <f>SUM(X91:X97)</f>
        <v>-292.2414365390807</v>
      </c>
      <c r="Y98" s="275">
        <f t="shared" si="22"/>
        <v>-292.2414365390807</v>
      </c>
      <c r="Z98" s="274">
        <f>SUM(Z91:Z97)</f>
        <v>-643.2551081874656</v>
      </c>
      <c r="AA98" s="274">
        <f>SUM(AA91:AA97)</f>
        <v>-705.198445645635</v>
      </c>
      <c r="AB98" s="274">
        <f>SUM(AB91:AB97)</f>
        <v>-517.9979599722432</v>
      </c>
      <c r="AC98" s="274">
        <f>SUM(AC91:AC97)</f>
        <v>-463.3597169039514</v>
      </c>
      <c r="AD98" s="275">
        <f t="shared" si="23"/>
        <v>-2329.811230709295</v>
      </c>
      <c r="AE98" s="275">
        <f>SUM(AE91:AE97)</f>
        <v>-2552.7920599335853</v>
      </c>
      <c r="AF98" s="275">
        <f>SUM(AF91:AF97)</f>
        <v>-3005.516851226511</v>
      </c>
      <c r="AG98" s="275">
        <f>SUM(AG91:AG97)</f>
        <v>-3132.41408044197</v>
      </c>
      <c r="AH98" s="8"/>
      <c r="AI98" s="8"/>
      <c r="AJ98" s="8"/>
      <c r="AK98" s="8"/>
    </row>
    <row r="99" ht="13.5" customHeight="1" spans="1:37" x14ac:dyDescent="0.25">
      <c r="A99" s="257"/>
      <c r="B99" s="8"/>
      <c r="C99" s="130"/>
      <c r="D99" s="8"/>
      <c r="E99" s="8"/>
      <c r="F99" s="308"/>
      <c r="G99" s="308"/>
      <c r="H99" s="348"/>
      <c r="I99" s="308"/>
      <c r="J99" s="8"/>
      <c r="K99" s="308"/>
      <c r="L99" s="308"/>
      <c r="M99" s="348"/>
      <c r="N99" s="308"/>
      <c r="O99" s="8"/>
      <c r="P99" s="308"/>
      <c r="Q99" s="308"/>
      <c r="R99" s="348"/>
      <c r="S99" s="308"/>
      <c r="T99" s="8"/>
      <c r="U99" s="308"/>
      <c r="V99" s="308"/>
      <c r="W99" s="348"/>
      <c r="X99" s="274"/>
      <c r="Y99" s="8"/>
      <c r="Z99" s="274"/>
      <c r="AA99" s="274"/>
      <c r="AB99" s="274"/>
      <c r="AC99" s="274"/>
      <c r="AD99" s="8"/>
      <c r="AE99" s="8"/>
      <c r="AF99" s="8"/>
      <c r="AG99" s="8"/>
      <c r="AH99" s="8"/>
      <c r="AI99" s="8"/>
      <c r="AJ99" s="8"/>
      <c r="AK99" s="8"/>
    </row>
    <row r="100" ht="13.5" customHeight="1" spans="1:37" x14ac:dyDescent="0.25">
      <c r="A100" s="257"/>
      <c r="B100" s="8"/>
      <c r="C100" s="130" t="s">
        <v>317</v>
      </c>
      <c r="D100" s="8"/>
      <c r="E100" s="8"/>
      <c r="F100" s="356"/>
      <c r="G100" s="356"/>
      <c r="H100" s="356"/>
      <c r="I100" s="356"/>
      <c r="J100" s="153"/>
      <c r="K100" s="356"/>
      <c r="L100" s="356"/>
      <c r="M100" s="356"/>
      <c r="N100" s="356"/>
      <c r="O100" s="153"/>
      <c r="P100" s="356"/>
      <c r="Q100" s="356"/>
      <c r="R100" s="356"/>
      <c r="S100" s="356"/>
      <c r="T100" s="153"/>
      <c r="U100" s="356"/>
      <c r="V100" s="356"/>
      <c r="W100" s="356"/>
      <c r="X100" s="369">
        <f>Drivers!X108</f>
        <v>0</v>
      </c>
      <c r="Y100" s="153">
        <f>SUM(U100:X100)</f>
        <v>0</v>
      </c>
      <c r="Z100" s="369">
        <f>Drivers!Z108</f>
        <v>0</v>
      </c>
      <c r="AA100" s="369">
        <f>Drivers!AA108</f>
        <v>0</v>
      </c>
      <c r="AB100" s="369">
        <f>Drivers!AB108</f>
        <v>0</v>
      </c>
      <c r="AC100" s="369">
        <f>Drivers!AC108</f>
        <v>0</v>
      </c>
      <c r="AD100" s="153">
        <f>SUM(Z100:AC100)</f>
        <v>0</v>
      </c>
      <c r="AE100" s="370">
        <f>Drivers!AE108</f>
        <v>0</v>
      </c>
      <c r="AF100" s="370">
        <f>Drivers!AF108</f>
        <v>0</v>
      </c>
      <c r="AG100" s="370">
        <f>Drivers!AG108</f>
        <v>0</v>
      </c>
      <c r="AH100" s="8"/>
      <c r="AI100" s="8"/>
      <c r="AJ100" s="8"/>
      <c r="AK100" s="8"/>
    </row>
    <row r="101" ht="13.5" customHeight="1" spans="1:37" x14ac:dyDescent="0.25">
      <c r="A101" s="257"/>
      <c r="B101" s="8"/>
      <c r="C101" s="130" t="s">
        <v>318</v>
      </c>
      <c r="D101" s="8"/>
      <c r="E101" s="8"/>
      <c r="F101" s="356"/>
      <c r="G101" s="356"/>
      <c r="H101" s="356"/>
      <c r="I101" s="356"/>
      <c r="J101" s="153"/>
      <c r="K101" s="356"/>
      <c r="L101" s="356"/>
      <c r="M101" s="356"/>
      <c r="N101" s="356"/>
      <c r="O101" s="153"/>
      <c r="P101" s="356"/>
      <c r="Q101" s="356"/>
      <c r="R101" s="356"/>
      <c r="S101" s="356"/>
      <c r="T101" s="153"/>
      <c r="U101" s="356"/>
      <c r="V101" s="356"/>
      <c r="W101" s="356"/>
      <c r="X101" s="377">
        <v>0</v>
      </c>
      <c r="Y101" s="153">
        <f>SUM(U101:X101)</f>
        <v>0</v>
      </c>
      <c r="Z101" s="377">
        <v>0</v>
      </c>
      <c r="AA101" s="377">
        <v>0</v>
      </c>
      <c r="AB101" s="377">
        <v>0</v>
      </c>
      <c r="AC101" s="377">
        <v>0</v>
      </c>
      <c r="AD101" s="153">
        <f>SUM(Z101:AC101)</f>
        <v>0</v>
      </c>
      <c r="AE101" s="360">
        <v>0</v>
      </c>
      <c r="AF101" s="360">
        <v>0</v>
      </c>
      <c r="AG101" s="360">
        <v>0</v>
      </c>
      <c r="AH101" s="8"/>
      <c r="AI101" s="8"/>
      <c r="AJ101" s="8"/>
      <c r="AK101" s="8"/>
    </row>
    <row r="102" ht="13.5" customHeight="1" spans="1:37" x14ac:dyDescent="0.25">
      <c r="A102" s="257"/>
      <c r="B102" s="8"/>
      <c r="C102" s="130" t="s">
        <v>319</v>
      </c>
      <c r="D102" s="8"/>
      <c r="E102" s="8"/>
      <c r="F102" s="356"/>
      <c r="G102" s="356"/>
      <c r="H102" s="356"/>
      <c r="I102" s="356"/>
      <c r="J102" s="153"/>
      <c r="K102" s="356"/>
      <c r="L102" s="356"/>
      <c r="M102" s="356"/>
      <c r="N102" s="356"/>
      <c r="O102" s="153"/>
      <c r="P102" s="356"/>
      <c r="Q102" s="356"/>
      <c r="R102" s="356"/>
      <c r="S102" s="356"/>
      <c r="T102" s="153"/>
      <c r="U102" s="356"/>
      <c r="V102" s="356"/>
      <c r="W102" s="356"/>
      <c r="X102" s="377">
        <v>0</v>
      </c>
      <c r="Y102" s="153">
        <f>SUM(U102:X102)</f>
        <v>0</v>
      </c>
      <c r="Z102" s="377">
        <v>0</v>
      </c>
      <c r="AA102" s="377">
        <v>0</v>
      </c>
      <c r="AB102" s="377">
        <v>0</v>
      </c>
      <c r="AC102" s="377">
        <v>0</v>
      </c>
      <c r="AD102" s="153">
        <f>SUM(Z102:AC102)</f>
        <v>0</v>
      </c>
      <c r="AE102" s="360">
        <v>0</v>
      </c>
      <c r="AF102" s="360">
        <v>0</v>
      </c>
      <c r="AG102" s="360">
        <v>0</v>
      </c>
      <c r="AH102" s="8"/>
      <c r="AI102" s="8"/>
      <c r="AJ102" s="8"/>
      <c r="AK102" s="8"/>
    </row>
    <row r="103" ht="13.5" customHeight="1" spans="1:37" x14ac:dyDescent="0.25">
      <c r="A103" s="257"/>
      <c r="B103" s="8"/>
      <c r="C103" s="130"/>
      <c r="D103" s="8"/>
      <c r="E103" s="8"/>
      <c r="F103" s="308"/>
      <c r="G103" s="308"/>
      <c r="H103" s="308"/>
      <c r="I103" s="308"/>
      <c r="J103" s="8"/>
      <c r="K103" s="308"/>
      <c r="L103" s="308"/>
      <c r="M103" s="308"/>
      <c r="N103" s="308"/>
      <c r="O103" s="8"/>
      <c r="P103" s="308"/>
      <c r="Q103" s="308"/>
      <c r="R103" s="308"/>
      <c r="S103" s="308"/>
      <c r="T103" s="8"/>
      <c r="U103" s="308"/>
      <c r="V103" s="308"/>
      <c r="W103" s="308"/>
      <c r="X103" s="309"/>
      <c r="Y103" s="8"/>
      <c r="Z103" s="309"/>
      <c r="AA103" s="309"/>
      <c r="AB103" s="309"/>
      <c r="AC103" s="309"/>
      <c r="AD103" s="8"/>
      <c r="AE103" s="8"/>
      <c r="AF103" s="8"/>
      <c r="AG103" s="8"/>
      <c r="AH103" s="8"/>
      <c r="AI103" s="8"/>
      <c r="AJ103" s="8"/>
      <c r="AK103" s="8"/>
    </row>
    <row r="104" ht="13.5" customHeight="1" spans="1:37" x14ac:dyDescent="0.25">
      <c r="A104" s="257"/>
      <c r="B104" s="8"/>
      <c r="C104" s="130" t="s">
        <v>320</v>
      </c>
      <c r="D104" s="8"/>
      <c r="E104" s="8"/>
      <c r="F104" s="412"/>
      <c r="G104" s="412"/>
      <c r="H104" s="412"/>
      <c r="I104" s="412"/>
      <c r="J104" s="275"/>
      <c r="K104" s="412"/>
      <c r="L104" s="412"/>
      <c r="M104" s="412"/>
      <c r="N104" s="412"/>
      <c r="O104" s="275"/>
      <c r="P104" s="412"/>
      <c r="Q104" s="412"/>
      <c r="R104" s="412"/>
      <c r="S104" s="412"/>
      <c r="T104" s="275"/>
      <c r="U104" s="412"/>
      <c r="V104" s="412"/>
      <c r="W104" s="412"/>
      <c r="X104" s="274">
        <f>W123</f>
        <v>0</v>
      </c>
      <c r="Y104" s="275"/>
      <c r="Z104" s="274">
        <f>X106</f>
        <v>58.332247659647805</v>
      </c>
      <c r="AA104" s="274">
        <f>Z106+AA101</f>
        <v>57.31769938501009</v>
      </c>
      <c r="AB104" s="274">
        <f>AA106+AB101</f>
        <v>60.40384033886687</v>
      </c>
      <c r="AC104" s="274">
        <f>AB106+AC101</f>
        <v>60.149034243360575</v>
      </c>
      <c r="AD104" s="275">
        <f>Z104</f>
        <v>58.332247659647805</v>
      </c>
      <c r="AE104" s="275">
        <f>AD106+AE101</f>
        <v>59.47452618091313</v>
      </c>
      <c r="AF104" s="275">
        <f>AE106+AF101</f>
        <v>248.82643871512903</v>
      </c>
      <c r="AG104" s="275">
        <f>AF106+AG101</f>
        <v>261.4636510962911</v>
      </c>
      <c r="AH104" s="8"/>
      <c r="AI104" s="8"/>
      <c r="AJ104" s="8"/>
      <c r="AK104" s="8"/>
    </row>
    <row r="105" ht="13.5" customHeight="1" spans="1:37" x14ac:dyDescent="0.25">
      <c r="A105" s="257"/>
      <c r="B105" s="8"/>
      <c r="C105" s="130" t="s">
        <v>321</v>
      </c>
      <c r="D105" s="8"/>
      <c r="E105" s="8"/>
      <c r="F105" s="413"/>
      <c r="G105" s="413"/>
      <c r="H105" s="413"/>
      <c r="I105" s="413"/>
      <c r="J105" s="351"/>
      <c r="K105" s="413"/>
      <c r="L105" s="413"/>
      <c r="M105" s="413"/>
      <c r="N105" s="413"/>
      <c r="O105" s="351"/>
      <c r="P105" s="413"/>
      <c r="Q105" s="413"/>
      <c r="R105" s="413"/>
      <c r="S105" s="413"/>
      <c r="T105" s="351"/>
      <c r="U105" s="413"/>
      <c r="V105" s="413"/>
      <c r="W105" s="413"/>
      <c r="X105" s="353">
        <f>SUM(X89,X98,X100,X102)</f>
        <v>-25.667752340352195</v>
      </c>
      <c r="Y105" s="351">
        <f>SUM(U105:X105)</f>
        <v>-25.667752340352195</v>
      </c>
      <c r="Z105" s="353">
        <f>SUM(Z89,Z98,Z100,Z102)</f>
        <v>-1.0145482746377184</v>
      </c>
      <c r="AA105" s="353">
        <f>SUM(AA89,AA98,AA100,AA102)</f>
        <v>3.086140953856784</v>
      </c>
      <c r="AB105" s="353">
        <f>SUM(AB89,AB98,AB100,AB102)</f>
        <v>-0.2548060955062965</v>
      </c>
      <c r="AC105" s="353">
        <f>SUM(AC89,AC98,AC100,AC102)</f>
        <v>-0.674508062447444</v>
      </c>
      <c r="AD105" s="351">
        <f>SUM(Z105:AC105)</f>
        <v>1.1422785212653253</v>
      </c>
      <c r="AE105" s="351">
        <f>SUM(AE89,AE98,AE100,AE102)</f>
        <v>189.3519125342159</v>
      </c>
      <c r="AF105" s="351">
        <f>SUM(AF89,AF98,AF100,AF102)</f>
        <v>12.637212381162044</v>
      </c>
      <c r="AG105" s="351">
        <f>SUM(AG89,AG98,AG100,AG102)</f>
        <v>12.576223094839861</v>
      </c>
      <c r="AH105" s="8"/>
      <c r="AI105" s="8"/>
      <c r="AJ105" s="8"/>
      <c r="AK105" s="8"/>
    </row>
    <row r="106" ht="13.5" customHeight="1" spans="1:37" x14ac:dyDescent="0.25">
      <c r="A106" s="257"/>
      <c r="B106" s="8"/>
      <c r="C106" s="130" t="s">
        <v>322</v>
      </c>
      <c r="D106" s="8"/>
      <c r="E106" s="8"/>
      <c r="F106" s="412"/>
      <c r="G106" s="412"/>
      <c r="H106" s="412"/>
      <c r="I106" s="412"/>
      <c r="J106" s="275"/>
      <c r="K106" s="412"/>
      <c r="L106" s="412"/>
      <c r="M106" s="412"/>
      <c r="N106" s="412"/>
      <c r="O106" s="275"/>
      <c r="P106" s="412"/>
      <c r="Q106" s="412"/>
      <c r="R106" s="412"/>
      <c r="S106" s="412"/>
      <c r="T106" s="414"/>
      <c r="U106" s="412"/>
      <c r="V106" s="415"/>
      <c r="W106" s="412"/>
      <c r="X106" s="274">
        <f>SUM(X104:X105)</f>
        <v>58.332247659647805</v>
      </c>
      <c r="Y106" s="275">
        <f>X106</f>
        <v>58.332247659647805</v>
      </c>
      <c r="Z106" s="274">
        <f t="shared" ref="Z106:AG106" si="26">SUM(Z104:Z105)</f>
        <v>57.31769938501009</v>
      </c>
      <c r="AA106" s="274">
        <f t="shared" si="26"/>
        <v>60.40384033886687</v>
      </c>
      <c r="AB106" s="274">
        <f t="shared" si="26"/>
        <v>60.149034243360575</v>
      </c>
      <c r="AC106" s="274">
        <f t="shared" si="26"/>
        <v>59.47452618091313</v>
      </c>
      <c r="AD106" s="275">
        <f t="shared" si="26"/>
        <v>59.47452618091313</v>
      </c>
      <c r="AE106" s="275">
        <f t="shared" si="26"/>
        <v>248.82643871512903</v>
      </c>
      <c r="AF106" s="275">
        <f t="shared" si="26"/>
        <v>261.4636510962911</v>
      </c>
      <c r="AG106" s="275">
        <f t="shared" si="26"/>
        <v>274.03987419113093</v>
      </c>
      <c r="AH106" s="8"/>
      <c r="AI106" s="8"/>
      <c r="AJ106" s="8"/>
      <c r="AK106" s="8"/>
    </row>
    <row r="107" ht="13.5" customHeight="1" spans="1:37" x14ac:dyDescent="0.25">
      <c r="A107" s="257"/>
      <c r="B107" s="8"/>
      <c r="C107" s="130"/>
      <c r="D107" s="8"/>
      <c r="E107" s="8"/>
      <c r="F107" s="308"/>
      <c r="G107" s="308"/>
      <c r="H107" s="308"/>
      <c r="I107" s="308"/>
      <c r="J107" s="8"/>
      <c r="K107" s="308"/>
      <c r="L107" s="308"/>
      <c r="M107" s="308"/>
      <c r="N107" s="308"/>
      <c r="O107" s="8"/>
      <c r="P107" s="308"/>
      <c r="Q107" s="308"/>
      <c r="R107" s="308"/>
      <c r="S107" s="308"/>
      <c r="T107" s="8"/>
      <c r="U107" s="308"/>
      <c r="V107" s="308"/>
      <c r="W107" s="308"/>
      <c r="X107" s="309"/>
      <c r="Y107" s="8"/>
      <c r="Z107" s="309"/>
      <c r="AA107" s="309"/>
      <c r="AB107" s="309"/>
      <c r="AC107" s="309"/>
      <c r="AD107" s="8"/>
      <c r="AE107" s="8"/>
      <c r="AF107" s="8"/>
      <c r="AG107" s="8"/>
      <c r="AH107" s="8"/>
      <c r="AI107" s="8"/>
      <c r="AJ107" s="8"/>
      <c r="AK107" s="8"/>
    </row>
    <row r="108" ht="13.5" customHeight="1" spans="1:37" x14ac:dyDescent="0.25">
      <c r="A108" s="257" t="s">
        <v>3</v>
      </c>
      <c r="B108" s="8"/>
      <c r="C108" s="36" t="s">
        <v>323</v>
      </c>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416"/>
      <c r="AH108" s="257" t="s">
        <v>3</v>
      </c>
      <c r="AI108" s="8"/>
      <c r="AJ108" s="8"/>
      <c r="AK108" s="8"/>
    </row>
    <row r="109" ht="13.5" customHeight="1" spans="1:37" x14ac:dyDescent="0.25">
      <c r="A109" s="257"/>
      <c r="B109" s="8"/>
      <c r="C109" s="8"/>
      <c r="D109" s="8"/>
      <c r="E109" s="8"/>
      <c r="F109" s="308"/>
      <c r="G109" s="308"/>
      <c r="H109" s="308"/>
      <c r="I109" s="308"/>
      <c r="J109" s="8"/>
      <c r="K109" s="308"/>
      <c r="L109" s="308"/>
      <c r="M109" s="308"/>
      <c r="N109" s="308"/>
      <c r="O109" s="8"/>
      <c r="P109" s="308"/>
      <c r="Q109" s="308"/>
      <c r="R109" s="308"/>
      <c r="S109" s="308"/>
      <c r="T109" s="8"/>
      <c r="U109" s="308"/>
      <c r="V109" s="308"/>
      <c r="W109" s="308"/>
      <c r="X109" s="309"/>
      <c r="Y109" s="8"/>
      <c r="Z109" s="309"/>
      <c r="AA109" s="309"/>
      <c r="AB109" s="309"/>
      <c r="AC109" s="309"/>
      <c r="AD109" s="8"/>
      <c r="AE109" s="8"/>
      <c r="AF109" s="8"/>
      <c r="AG109" s="8"/>
      <c r="AH109" s="8"/>
      <c r="AI109" s="8"/>
      <c r="AJ109" s="8"/>
      <c r="AK109" s="8"/>
    </row>
    <row r="110" ht="13.5" customHeight="1" spans="1:37" x14ac:dyDescent="0.25">
      <c r="A110" s="257"/>
      <c r="B110" s="8"/>
      <c r="C110" s="8" t="s">
        <v>300</v>
      </c>
      <c r="D110" s="8"/>
      <c r="E110" s="8"/>
      <c r="F110" s="401">
        <f>F45</f>
        <v>383.852</v>
      </c>
      <c r="G110" s="401">
        <f>G45</f>
        <v>427.398</v>
      </c>
      <c r="H110" s="401">
        <f>H45</f>
        <v>480.169</v>
      </c>
      <c r="I110" s="401">
        <f>I45</f>
        <v>439.566</v>
      </c>
      <c r="J110" s="153">
        <f>J45</f>
        <v>1730.985</v>
      </c>
      <c r="K110" s="401">
        <f t="shared" ref="K110:AG110" si="27">K45</f>
        <v>453.794</v>
      </c>
      <c r="L110" s="401">
        <f t="shared" si="27"/>
        <v>511.536</v>
      </c>
      <c r="M110" s="401">
        <f t="shared" si="27"/>
        <v>565.669</v>
      </c>
      <c r="N110" s="401">
        <f t="shared" si="27"/>
        <v>512.174</v>
      </c>
      <c r="O110" s="153">
        <f t="shared" si="27"/>
        <v>2043.1729999999998</v>
      </c>
      <c r="P110" s="401">
        <f t="shared" si="27"/>
        <v>494.996</v>
      </c>
      <c r="Q110" s="401">
        <f t="shared" si="27"/>
        <v>549.905</v>
      </c>
      <c r="R110" s="401">
        <f t="shared" si="27"/>
        <v>549.672</v>
      </c>
      <c r="S110" s="401">
        <f t="shared" si="27"/>
        <v>544.676</v>
      </c>
      <c r="T110" s="153">
        <f t="shared" si="27"/>
        <v>2139.249</v>
      </c>
      <c r="U110" s="401">
        <f t="shared" si="27"/>
        <v>4152.631</v>
      </c>
      <c r="V110" s="401">
        <f t="shared" si="27"/>
        <v>4379.486</v>
      </c>
      <c r="W110" s="401">
        <f t="shared" si="27"/>
        <v>4358.186</v>
      </c>
      <c r="X110" s="358">
        <f t="shared" si="27"/>
        <v>566.8519263406029</v>
      </c>
      <c r="Y110" s="153">
        <f t="shared" si="27"/>
        <v>2596.1549263406027</v>
      </c>
      <c r="Z110" s="358">
        <f t="shared" si="27"/>
        <v>568.1117253323134</v>
      </c>
      <c r="AA110" s="358">
        <f t="shared" si="27"/>
        <v>637.5927105870192</v>
      </c>
      <c r="AB110" s="358">
        <f t="shared" si="27"/>
        <v>647.9805492786331</v>
      </c>
      <c r="AC110" s="358">
        <f t="shared" si="27"/>
        <v>628.4469917691944</v>
      </c>
      <c r="AD110" s="153">
        <f t="shared" si="27"/>
        <v>2482.13197696716</v>
      </c>
      <c r="AE110" s="153">
        <f t="shared" si="27"/>
        <v>2803.4172936509563</v>
      </c>
      <c r="AF110" s="153">
        <f t="shared" si="27"/>
        <v>2919.298888274219</v>
      </c>
      <c r="AG110" s="153">
        <f t="shared" si="27"/>
        <v>3107.5490560437593</v>
      </c>
      <c r="AH110" s="8"/>
      <c r="AI110" s="8"/>
      <c r="AJ110" s="8"/>
      <c r="AK110" s="8"/>
    </row>
    <row r="111" ht="13.5" customHeight="1" spans="1:37" x14ac:dyDescent="0.25">
      <c r="A111" s="257"/>
      <c r="B111" s="8"/>
      <c r="C111" s="8" t="s">
        <v>324</v>
      </c>
      <c r="D111" s="8"/>
      <c r="E111" s="8"/>
      <c r="F111" s="401">
        <f>F249</f>
        <v>11.6</v>
      </c>
      <c r="G111" s="401">
        <f>G249</f>
        <v>9.8</v>
      </c>
      <c r="H111" s="401">
        <f>H249</f>
        <v>10.3</v>
      </c>
      <c r="I111" s="401">
        <f>I249</f>
        <v>9.3</v>
      </c>
      <c r="J111" s="153"/>
      <c r="K111" s="401">
        <f>K249</f>
        <v>11</v>
      </c>
      <c r="L111" s="401">
        <f>L249</f>
        <v>11</v>
      </c>
      <c r="M111" s="401">
        <f>M249</f>
        <v>9</v>
      </c>
      <c r="N111" s="401">
        <f>N249</f>
        <v>11</v>
      </c>
      <c r="O111" s="153"/>
      <c r="P111" s="401">
        <f>P249</f>
        <v>13</v>
      </c>
      <c r="Q111" s="401">
        <f>Q249</f>
        <v>10</v>
      </c>
      <c r="R111" s="401">
        <f>R249</f>
        <v>10</v>
      </c>
      <c r="S111" s="401">
        <f>S249</f>
        <v>0</v>
      </c>
      <c r="T111" s="153"/>
      <c r="U111" s="401">
        <f>U249</f>
        <v>0</v>
      </c>
      <c r="V111" s="401">
        <f>V249</f>
        <v>0</v>
      </c>
      <c r="W111" s="401">
        <f>W249</f>
        <v>0</v>
      </c>
      <c r="X111" s="358">
        <f>X249</f>
        <v>0</v>
      </c>
      <c r="Y111" s="153">
        <f>Y79</f>
        <v>0</v>
      </c>
      <c r="Z111" s="358">
        <f>Z249</f>
        <v>0</v>
      </c>
      <c r="AA111" s="358">
        <f>AA249</f>
        <v>0</v>
      </c>
      <c r="AB111" s="358">
        <f>AB249</f>
        <v>0</v>
      </c>
      <c r="AC111" s="358">
        <f>AC249</f>
        <v>0</v>
      </c>
      <c r="AD111" s="153">
        <f>AD79</f>
        <v>0</v>
      </c>
      <c r="AE111" s="153">
        <f>AE249</f>
        <v>0</v>
      </c>
      <c r="AF111" s="153">
        <f>AF249</f>
        <v>0</v>
      </c>
      <c r="AG111" s="153">
        <f>AG249</f>
        <v>0</v>
      </c>
      <c r="AH111" s="8"/>
      <c r="AI111" s="8"/>
      <c r="AJ111" s="8"/>
      <c r="AK111" s="8"/>
    </row>
    <row r="112" ht="13.5" customHeight="1" spans="1:37" x14ac:dyDescent="0.25">
      <c r="A112" s="257"/>
      <c r="B112" s="8"/>
      <c r="C112" s="8" t="s">
        <v>271</v>
      </c>
      <c r="D112" s="8"/>
      <c r="E112" s="8"/>
      <c r="F112" s="401">
        <f>-F197+F211</f>
        <v>-15.1</v>
      </c>
      <c r="G112" s="401">
        <f>-G197+G211</f>
        <v>-15</v>
      </c>
      <c r="H112" s="401">
        <f>-H197+H211</f>
        <v>-17.3</v>
      </c>
      <c r="I112" s="401">
        <f>-I197+I211</f>
        <v>-18.6</v>
      </c>
      <c r="J112" s="153">
        <f>SUM(F112:I112)</f>
        <v>-66</v>
      </c>
      <c r="K112" s="401">
        <f>-K197+K211</f>
        <v>-17.8</v>
      </c>
      <c r="L112" s="401">
        <f>-L197+L211</f>
        <v>-18.7</v>
      </c>
      <c r="M112" s="401">
        <f>-M197+M211</f>
        <v>-17.8</v>
      </c>
      <c r="N112" s="401">
        <f>-N197+N211</f>
        <v>-24.7</v>
      </c>
      <c r="O112" s="153">
        <f>SUM(K112:N112)</f>
        <v>-79</v>
      </c>
      <c r="P112" s="401">
        <f t="shared" ref="P112:AG112" si="28">-P197+P211</f>
        <v>-21</v>
      </c>
      <c r="Q112" s="401">
        <f t="shared" si="28"/>
        <v>-22</v>
      </c>
      <c r="R112" s="401">
        <f t="shared" si="28"/>
        <v>-22</v>
      </c>
      <c r="S112" s="401">
        <f>-S197+S211</f>
        <v>-24</v>
      </c>
      <c r="T112" s="153">
        <f>SUM(P112:S112)</f>
        <v>-89</v>
      </c>
      <c r="U112" s="401">
        <f t="shared" si="28"/>
        <v>0</v>
      </c>
      <c r="V112" s="401">
        <f t="shared" si="28"/>
        <v>0</v>
      </c>
      <c r="W112" s="401">
        <f t="shared" si="28"/>
        <v>0</v>
      </c>
      <c r="X112" s="309">
        <f>-X197+X211</f>
        <v>494.4525422831382</v>
      </c>
      <c r="Y112" s="153">
        <f>SUM(U112:X112)</f>
        <v>1840.7525422831382</v>
      </c>
      <c r="Z112" s="358">
        <f t="shared" si="28"/>
        <v>485.2960137223393</v>
      </c>
      <c r="AA112" s="358">
        <f t="shared" si="28"/>
        <v>485.93052936790724</v>
      </c>
      <c r="AB112" s="358">
        <f t="shared" si="28"/>
        <v>486.65053926761317</v>
      </c>
      <c r="AC112" s="358">
        <f t="shared" si="28"/>
        <v>487.72771209352163</v>
      </c>
      <c r="AD112" s="153">
        <f>SUM(Z112:AC112)</f>
        <v>1945.6047944513814</v>
      </c>
      <c r="AE112" s="153">
        <f t="shared" si="28"/>
        <v>1977.3332418248879</v>
      </c>
      <c r="AF112" s="153">
        <f t="shared" si="28"/>
        <v>2085.257924525477</v>
      </c>
      <c r="AG112" s="153">
        <f t="shared" si="28"/>
        <v>2190.6617597324716</v>
      </c>
      <c r="AH112" s="8"/>
      <c r="AI112" s="8"/>
      <c r="AJ112" s="8"/>
      <c r="AK112" s="8"/>
    </row>
    <row r="113" ht="13.5" customHeight="1" spans="1:37" x14ac:dyDescent="0.25">
      <c r="A113" s="257"/>
      <c r="B113" s="8"/>
      <c r="C113" s="8" t="s">
        <v>325</v>
      </c>
      <c r="D113" s="8"/>
      <c r="E113" s="8"/>
      <c r="F113" s="401">
        <f>F181</f>
        <v>-800.1000000000001</v>
      </c>
      <c r="G113" s="401">
        <f>G181</f>
        <v>62.40000000000032</v>
      </c>
      <c r="H113" s="401">
        <f>H181</f>
        <v>6.199999999999818</v>
      </c>
      <c r="I113" s="401">
        <f>I181</f>
        <v>277.5</v>
      </c>
      <c r="J113" s="153">
        <f>SUM(F113:I113)</f>
        <v>-454</v>
      </c>
      <c r="K113" s="401">
        <f>K181</f>
        <v>-231.20000000000005</v>
      </c>
      <c r="L113" s="401">
        <f>L181</f>
        <v>53</v>
      </c>
      <c r="M113" s="401">
        <f>M181</f>
        <v>-87.59999999999991</v>
      </c>
      <c r="N113" s="401">
        <f>N181</f>
        <v>145.79999999999995</v>
      </c>
      <c r="O113" s="153">
        <f>SUM(K113:N113)</f>
        <v>-120</v>
      </c>
      <c r="P113" s="401">
        <f>P181</f>
        <v>-228</v>
      </c>
      <c r="Q113" s="401">
        <f>Q181</f>
        <v>17</v>
      </c>
      <c r="R113" s="401">
        <f>R181</f>
        <v>29</v>
      </c>
      <c r="S113" s="401">
        <f>S181</f>
        <v>127</v>
      </c>
      <c r="T113" s="153">
        <f>SUM(P113:S113)</f>
        <v>-55</v>
      </c>
      <c r="U113" s="401">
        <f>U181</f>
        <v>0</v>
      </c>
      <c r="V113" s="401">
        <f>V181</f>
        <v>0</v>
      </c>
      <c r="W113" s="401">
        <f>W181</f>
        <v>0</v>
      </c>
      <c r="X113" s="358">
        <f>X181</f>
        <v>-710.1161940020215</v>
      </c>
      <c r="Y113" s="153">
        <f>SUM(U113:X113)</f>
        <v>-710.1161940020215</v>
      </c>
      <c r="Z113" s="358">
        <f>Z181</f>
        <v>79.21138514413133</v>
      </c>
      <c r="AA113" s="358">
        <f>AA181</f>
        <v>9.414787908714288</v>
      </c>
      <c r="AB113" s="358">
        <f>AB181</f>
        <v>-27.715572787780047</v>
      </c>
      <c r="AC113" s="358">
        <f>AC181</f>
        <v>-31.359251373999996</v>
      </c>
      <c r="AD113" s="153">
        <f>SUM(Z113:AC113)</f>
        <v>29.551348891065572</v>
      </c>
      <c r="AE113" s="153">
        <f>AE181</f>
        <v>-74.87951100001078</v>
      </c>
      <c r="AF113" s="153">
        <f>AF181</f>
        <v>-13.49991246363993</v>
      </c>
      <c r="AG113" s="153">
        <f>AG181</f>
        <v>-36.9856942964941</v>
      </c>
      <c r="AH113" s="8"/>
      <c r="AI113" s="8"/>
      <c r="AJ113" s="8"/>
      <c r="AK113" s="8"/>
    </row>
    <row r="114" ht="13.5" customHeight="1" spans="1:37" x14ac:dyDescent="0.25">
      <c r="A114" s="257"/>
      <c r="B114" s="8"/>
      <c r="C114" s="8" t="s">
        <v>118</v>
      </c>
      <c r="D114" s="8"/>
      <c r="E114" s="8"/>
      <c r="F114" s="385">
        <f>F196</f>
        <v>378.6</v>
      </c>
      <c r="G114" s="385">
        <f>G196</f>
        <v>714.3</v>
      </c>
      <c r="H114" s="385">
        <f>H196</f>
        <v>1083.2</v>
      </c>
      <c r="I114" s="385">
        <f>I196</f>
        <v>1631.1</v>
      </c>
      <c r="J114" s="351">
        <f>SUM(F114:I114)</f>
        <v>3807.2000000000003</v>
      </c>
      <c r="K114" s="385">
        <f>K196</f>
        <v>0</v>
      </c>
      <c r="L114" s="385">
        <f>L196</f>
        <v>0</v>
      </c>
      <c r="M114" s="385">
        <f>M196</f>
        <v>0</v>
      </c>
      <c r="N114" s="385">
        <f>N196</f>
        <v>0</v>
      </c>
      <c r="O114" s="351">
        <f>SUM(K114:N114)</f>
        <v>0</v>
      </c>
      <c r="P114" s="385">
        <f>P196</f>
        <v>0</v>
      </c>
      <c r="Q114" s="385">
        <f>Q196</f>
        <v>0</v>
      </c>
      <c r="R114" s="385">
        <f>R196</f>
        <v>0</v>
      </c>
      <c r="S114" s="385">
        <f>S196</f>
        <v>0</v>
      </c>
      <c r="T114" s="351">
        <f>SUM(P114:S114)</f>
        <v>0</v>
      </c>
      <c r="U114" s="385">
        <f>U196</f>
        <v>0</v>
      </c>
      <c r="V114" s="385">
        <f>V196</f>
        <v>0</v>
      </c>
      <c r="W114" s="385">
        <f>W196</f>
        <v>0</v>
      </c>
      <c r="X114" s="353">
        <f>X196</f>
        <v>527.8620377467499</v>
      </c>
      <c r="Y114" s="351">
        <f>SUM(U114:X114)</f>
        <v>527.8620377467499</v>
      </c>
      <c r="Z114" s="353">
        <f>Z196</f>
        <v>483.81183375899997</v>
      </c>
      <c r="AA114" s="353">
        <f>AA196</f>
        <v>523.641622524</v>
      </c>
      <c r="AB114" s="353">
        <f>AB196</f>
        <v>503.1368209999999</v>
      </c>
      <c r="AC114" s="353">
        <f>AC196</f>
        <v>529.153423344</v>
      </c>
      <c r="AD114" s="351">
        <f>SUM(Z114:AC114)</f>
        <v>2039.7437006269997</v>
      </c>
      <c r="AE114" s="351">
        <f>AE196</f>
        <v>2054.90196135753</v>
      </c>
      <c r="AF114" s="351">
        <f>AF196</f>
        <v>2115.5227836755053</v>
      </c>
      <c r="AG114" s="351">
        <f>AG196</f>
        <v>2229.7814324122173</v>
      </c>
      <c r="AH114" s="8"/>
      <c r="AI114" s="8"/>
      <c r="AJ114" s="8"/>
      <c r="AK114" s="8"/>
    </row>
    <row r="115" ht="13.5" customHeight="1" spans="1:37" x14ac:dyDescent="0.25">
      <c r="A115" s="257"/>
      <c r="B115" s="8"/>
      <c r="C115" s="8" t="s">
        <v>326</v>
      </c>
      <c r="D115" s="8"/>
      <c r="E115" s="8"/>
      <c r="F115" s="348">
        <f>SUM(F110:F114)</f>
        <v>-41.14800000000014</v>
      </c>
      <c r="G115" s="348">
        <f>SUM(G110:G114)</f>
        <v>1198.8980000000004</v>
      </c>
      <c r="H115" s="348">
        <f>SUM(H110:H114)</f>
        <v>1562.569</v>
      </c>
      <c r="I115" s="348">
        <f>SUM(I110:I114)</f>
        <v>2338.866</v>
      </c>
      <c r="J115" s="275">
        <f>SUM(J110:J114)</f>
        <v>5018.185</v>
      </c>
      <c r="K115" s="348">
        <f t="shared" ref="K115:AG115" si="29">SUM(K110:K114)</f>
        <v>215.79399999999993</v>
      </c>
      <c r="L115" s="348">
        <f t="shared" si="29"/>
        <v>556.836</v>
      </c>
      <c r="M115" s="348">
        <f t="shared" si="29"/>
        <v>469.2690000000001</v>
      </c>
      <c r="N115" s="348">
        <f t="shared" si="29"/>
        <v>644.2739999999999</v>
      </c>
      <c r="O115" s="275">
        <f t="shared" si="29"/>
        <v>1844.1729999999998</v>
      </c>
      <c r="P115" s="348">
        <f t="shared" si="29"/>
        <v>258.996</v>
      </c>
      <c r="Q115" s="348">
        <f t="shared" si="29"/>
        <v>554.905</v>
      </c>
      <c r="R115" s="348">
        <f t="shared" si="29"/>
        <v>566.672</v>
      </c>
      <c r="S115" s="348">
        <f t="shared" si="29"/>
        <v>647.676</v>
      </c>
      <c r="T115" s="275">
        <f t="shared" si="29"/>
        <v>1995.2489999999998</v>
      </c>
      <c r="U115" s="348">
        <f t="shared" si="29"/>
        <v>4152.631</v>
      </c>
      <c r="V115" s="348">
        <f t="shared" si="29"/>
        <v>4379.486</v>
      </c>
      <c r="W115" s="348">
        <f>SUM(W110:W114)</f>
        <v>4358.186</v>
      </c>
      <c r="X115" s="274">
        <f t="shared" si="29"/>
        <v>1565.6381192283075</v>
      </c>
      <c r="Y115" s="275">
        <f t="shared" si="29"/>
        <v>7446.241119228309</v>
      </c>
      <c r="Z115" s="274">
        <f t="shared" si="29"/>
        <v>1649.4345862051787</v>
      </c>
      <c r="AA115" s="274">
        <f t="shared" si="29"/>
        <v>1691.3602838158606</v>
      </c>
      <c r="AB115" s="274">
        <f t="shared" si="29"/>
        <v>1644.6862524059395</v>
      </c>
      <c r="AC115" s="274">
        <f t="shared" si="29"/>
        <v>1648.2144085970358</v>
      </c>
      <c r="AD115" s="275">
        <f t="shared" si="29"/>
        <v>6633.695531024014</v>
      </c>
      <c r="AE115" s="275">
        <f t="shared" si="29"/>
        <v>6904.047670086042</v>
      </c>
      <c r="AF115" s="275">
        <f t="shared" si="29"/>
        <v>7257.130896526649</v>
      </c>
      <c r="AG115" s="275">
        <f t="shared" si="29"/>
        <v>7648.799176935234</v>
      </c>
      <c r="AH115" s="8"/>
      <c r="AI115" s="8"/>
      <c r="AJ115" s="8"/>
      <c r="AK115" s="8"/>
    </row>
    <row r="116" ht="13.5" customHeight="1" spans="1:37" x14ac:dyDescent="0.25">
      <c r="A116" s="257"/>
      <c r="B116" s="8"/>
      <c r="C116" s="8"/>
      <c r="D116" s="8"/>
      <c r="E116" s="8"/>
      <c r="F116" s="308"/>
      <c r="G116" s="308"/>
      <c r="H116" s="308"/>
      <c r="I116" s="308"/>
      <c r="J116" s="8"/>
      <c r="K116" s="308"/>
      <c r="L116" s="308"/>
      <c r="M116" s="308"/>
      <c r="N116" s="308"/>
      <c r="O116" s="8"/>
      <c r="P116" s="308"/>
      <c r="Q116" s="308"/>
      <c r="R116" s="308"/>
      <c r="S116" s="308"/>
      <c r="T116" s="8"/>
      <c r="U116" s="308"/>
      <c r="V116" s="308"/>
      <c r="W116" s="308"/>
      <c r="X116" s="309"/>
      <c r="Y116" s="8"/>
      <c r="Z116" s="309"/>
      <c r="AA116" s="309"/>
      <c r="AB116" s="309"/>
      <c r="AC116" s="309"/>
      <c r="AD116" s="8"/>
      <c r="AE116" s="8"/>
      <c r="AF116" s="8"/>
      <c r="AG116" s="8"/>
      <c r="AH116" s="8"/>
      <c r="AI116" s="8"/>
      <c r="AJ116" s="8"/>
      <c r="AK116" s="8"/>
    </row>
    <row r="117" ht="13.5" customHeight="1" spans="1:37" x14ac:dyDescent="0.25">
      <c r="A117" s="257"/>
      <c r="B117" s="8"/>
      <c r="C117" s="8" t="s">
        <v>327</v>
      </c>
      <c r="D117" s="8"/>
      <c r="E117" s="8"/>
      <c r="F117" s="417">
        <f>F115/F28</f>
        <v>-0.009921875000000033</v>
      </c>
      <c r="G117" s="417">
        <f>G115/G28</f>
        <v>0.27743277641505076</v>
      </c>
      <c r="H117" s="417">
        <f>H115/H28</f>
        <v>0.3539869058946128</v>
      </c>
      <c r="I117" s="417">
        <f>I115/I28</f>
        <v>0.5320078247617315</v>
      </c>
      <c r="J117" s="418">
        <f>J115/J28</f>
        <v>0.29041935054487794</v>
      </c>
      <c r="K117" s="417">
        <f t="shared" ref="K117:AG117" si="30">K115/K28</f>
        <v>0.04861320117143499</v>
      </c>
      <c r="L117" s="417">
        <f t="shared" si="30"/>
        <v>0.11941582672099507</v>
      </c>
      <c r="M117" s="417">
        <f t="shared" si="30"/>
        <v>0.10027115384615387</v>
      </c>
      <c r="N117" s="417">
        <f t="shared" si="30"/>
        <v>0.13903193785066895</v>
      </c>
      <c r="O117" s="418">
        <f t="shared" si="30"/>
        <v>0.10013971546481319</v>
      </c>
      <c r="P117" s="417">
        <f t="shared" si="30"/>
        <v>0.056389288047028086</v>
      </c>
      <c r="Q117" s="417">
        <f t="shared" si="30"/>
        <v>0.11366345759934453</v>
      </c>
      <c r="R117" s="417">
        <f t="shared" si="30"/>
        <v>0.117396312409364</v>
      </c>
      <c r="S117" s="417">
        <f t="shared" si="30"/>
        <v>0.13701628940131164</v>
      </c>
      <c r="T117" s="418">
        <f t="shared" si="30"/>
        <v>0.10485306637237898</v>
      </c>
      <c r="U117" s="417">
        <f t="shared" si="30"/>
        <v>1</v>
      </c>
      <c r="V117" s="417">
        <f t="shared" si="30"/>
        <v>1</v>
      </c>
      <c r="W117" s="417">
        <f t="shared" si="30"/>
        <v>1</v>
      </c>
      <c r="X117" s="419">
        <f t="shared" si="30"/>
        <v>0.3529538456363747</v>
      </c>
      <c r="Y117" s="418">
        <f t="shared" si="30"/>
        <v>0.4297697227233982</v>
      </c>
      <c r="Z117" s="419">
        <f t="shared" si="30"/>
        <v>0.37842654167069345</v>
      </c>
      <c r="AA117" s="419">
        <f t="shared" si="30"/>
        <v>0.36821953042163075</v>
      </c>
      <c r="AB117" s="419">
        <f t="shared" si="30"/>
        <v>0.35957512989225926</v>
      </c>
      <c r="AC117" s="419">
        <f t="shared" si="30"/>
        <v>0.3644332197402948</v>
      </c>
      <c r="AD117" s="418">
        <f t="shared" si="30"/>
        <v>0.3675449895328256</v>
      </c>
      <c r="AE117" s="418">
        <f t="shared" si="30"/>
        <v>0.3648736489968685</v>
      </c>
      <c r="AF117" s="418">
        <f t="shared" si="30"/>
        <v>0.36499664922014613</v>
      </c>
      <c r="AG117" s="418">
        <f t="shared" si="30"/>
        <v>0.3670411368735307</v>
      </c>
      <c r="AH117" s="8"/>
      <c r="AI117" s="8"/>
      <c r="AJ117" s="8"/>
      <c r="AK117" s="8"/>
    </row>
    <row r="118" ht="13.5" customHeight="1" spans="1:37" x14ac:dyDescent="0.25">
      <c r="A118" s="257"/>
      <c r="B118" s="8"/>
      <c r="C118" s="8" t="s">
        <v>328</v>
      </c>
      <c r="D118" s="8"/>
      <c r="E118" s="8"/>
      <c r="F118" s="381" t="e">
        <f>F115/F285</f>
        <v>#DIV/0!</v>
      </c>
      <c r="G118" s="381" t="e">
        <f>G115/G285</f>
        <v>#DIV/0!</v>
      </c>
      <c r="H118" s="381" t="e">
        <f>H115/H285</f>
        <v>#DIV/0!</v>
      </c>
      <c r="I118" s="381" t="e">
        <f>I115/I285</f>
        <v>#DIV/0!</v>
      </c>
      <c r="J118" s="118" t="e">
        <f>J115/J285</f>
        <v>#DIV/0!</v>
      </c>
      <c r="K118" s="381" t="e">
        <f t="shared" ref="K118:AG118" si="31">K115/K285</f>
        <v>#DIV/0!</v>
      </c>
      <c r="L118" s="381" t="e">
        <f t="shared" si="31"/>
        <v>#DIV/0!</v>
      </c>
      <c r="M118" s="381" t="e">
        <f t="shared" si="31"/>
        <v>#DIV/0!</v>
      </c>
      <c r="N118" s="381" t="e">
        <f t="shared" si="31"/>
        <v>#DIV/0!</v>
      </c>
      <c r="O118" s="118" t="e">
        <f t="shared" si="31"/>
        <v>#DIV/0!</v>
      </c>
      <c r="P118" s="381" t="e">
        <f t="shared" si="31"/>
        <v>#DIV/0!</v>
      </c>
      <c r="Q118" s="381" t="e">
        <f t="shared" si="31"/>
        <v>#DIV/0!</v>
      </c>
      <c r="R118" s="381" t="e">
        <f t="shared" si="31"/>
        <v>#DIV/0!</v>
      </c>
      <c r="S118" s="381" t="e">
        <f t="shared" si="31"/>
        <v>#DIV/0!</v>
      </c>
      <c r="T118" s="118" t="e">
        <f t="shared" si="31"/>
        <v>#DIV/0!</v>
      </c>
      <c r="U118" s="381" t="e">
        <f t="shared" si="31"/>
        <v>#DIV/0!</v>
      </c>
      <c r="V118" s="381" t="e">
        <f t="shared" si="31"/>
        <v>#DIV/0!</v>
      </c>
      <c r="W118" s="381" t="e">
        <f t="shared" si="31"/>
        <v>#DIV/0!</v>
      </c>
      <c r="X118" s="383">
        <f t="shared" si="31"/>
        <v>5.018070894962524</v>
      </c>
      <c r="Y118" s="118">
        <f t="shared" si="31"/>
        <v>23.826065496290884</v>
      </c>
      <c r="Z118" s="383">
        <f t="shared" si="31"/>
        <v>5.31195749757086</v>
      </c>
      <c r="AA118" s="383">
        <f t="shared" si="31"/>
        <v>5.473179158753441</v>
      </c>
      <c r="AB118" s="383">
        <f t="shared" si="31"/>
        <v>5.322143723895379</v>
      </c>
      <c r="AC118" s="383">
        <f t="shared" si="31"/>
        <v>5.333560706497317</v>
      </c>
      <c r="AD118" s="118">
        <f t="shared" si="31"/>
        <v>21.440609259277018</v>
      </c>
      <c r="AE118" s="118">
        <f t="shared" si="31"/>
        <v>22.44026387149729</v>
      </c>
      <c r="AF118" s="118">
        <f t="shared" si="31"/>
        <v>23.807728547741736</v>
      </c>
      <c r="AG118" s="118">
        <f t="shared" si="31"/>
        <v>25.335628818952216</v>
      </c>
      <c r="AH118" s="8"/>
      <c r="AI118" s="8"/>
      <c r="AJ118" s="8"/>
      <c r="AK118" s="8"/>
    </row>
    <row r="119" ht="13.5" customHeight="1" spans="1:37" x14ac:dyDescent="0.25">
      <c r="A119" s="257"/>
      <c r="B119" s="8"/>
      <c r="C119" s="8" t="s">
        <v>329</v>
      </c>
      <c r="D119" s="8"/>
      <c r="E119" s="8"/>
      <c r="F119" s="417" t="e">
        <f>F118*4/F242</f>
        <v>#DIV/0!</v>
      </c>
      <c r="G119" s="417" t="e">
        <f>G118*4/G242</f>
        <v>#DIV/0!</v>
      </c>
      <c r="H119" s="417" t="e">
        <f>H118*4/H242</f>
        <v>#DIV/0!</v>
      </c>
      <c r="I119" s="417" t="e">
        <f>I118*4/I242</f>
        <v>#DIV/0!</v>
      </c>
      <c r="J119" s="418" t="e">
        <f>J118/J242</f>
        <v>#DIV/0!</v>
      </c>
      <c r="K119" s="417" t="e">
        <f>K118*4/K242</f>
        <v>#DIV/0!</v>
      </c>
      <c r="L119" s="417" t="e">
        <f>L118*4/L242</f>
        <v>#DIV/0!</v>
      </c>
      <c r="M119" s="417" t="e">
        <f>M118*4/M242</f>
        <v>#DIV/0!</v>
      </c>
      <c r="N119" s="417" t="e">
        <f>N118*4/N242</f>
        <v>#DIV/0!</v>
      </c>
      <c r="O119" s="418" t="e">
        <f>O118/O242</f>
        <v>#DIV/0!</v>
      </c>
      <c r="P119" s="417" t="e">
        <f>P118*4/P242</f>
        <v>#DIV/0!</v>
      </c>
      <c r="Q119" s="417" t="e">
        <f>Q118*4/Q242</f>
        <v>#DIV/0!</v>
      </c>
      <c r="R119" s="417" t="e">
        <f>R118*4/R242</f>
        <v>#DIV/0!</v>
      </c>
      <c r="S119" s="417" t="e">
        <f>S118*4/S242</f>
        <v>#DIV/0!</v>
      </c>
      <c r="T119" s="418" t="e">
        <f>T118/T242</f>
        <v>#DIV/0!</v>
      </c>
      <c r="U119" s="417" t="e">
        <f>U118*4/U242</f>
        <v>#DIV/0!</v>
      </c>
      <c r="V119" s="417" t="e">
        <f>V118*4/V242</f>
        <v>#DIV/0!</v>
      </c>
      <c r="W119" s="417" t="e">
        <f>W118*4/W242</f>
        <v>#DIV/0!</v>
      </c>
      <c r="X119" s="419">
        <f>X118*4/X242</f>
        <v>0.09717881181239456</v>
      </c>
      <c r="Y119" s="418">
        <f>Y118/Y242</f>
        <v>0.11555617498904332</v>
      </c>
      <c r="Z119" s="419">
        <f>Z118*4/Z242</f>
        <v>0.11485313508261318</v>
      </c>
      <c r="AA119" s="419">
        <f>AA118*4/AA242</f>
        <v>0.11522482439480927</v>
      </c>
      <c r="AB119" s="419">
        <f>AB118*4/AB242</f>
        <v>0.10917217895170007</v>
      </c>
      <c r="AC119" s="419">
        <f>AC118*4/AC242</f>
        <v>0.10667121412994635</v>
      </c>
      <c r="AD119" s="418">
        <f>AD118/AD242</f>
        <v>0.1072030462963851</v>
      </c>
      <c r="AE119" s="418">
        <f>AE118/AE242</f>
        <v>0.10200119941589676</v>
      </c>
      <c r="AF119" s="418">
        <f>AF118/AF242</f>
        <v>0.1082169479442806</v>
      </c>
      <c r="AG119" s="418">
        <f>AG118/AG242</f>
        <v>0.10469268107005046</v>
      </c>
      <c r="AH119" s="8"/>
      <c r="AI119" s="8"/>
      <c r="AJ119" s="8"/>
      <c r="AK119" s="8"/>
    </row>
    <row r="120" ht="13.5" customHeight="1" spans="1:37" x14ac:dyDescent="0.25">
      <c r="A120" s="257"/>
      <c r="B120" s="8"/>
      <c r="C120" s="8"/>
      <c r="D120" s="8"/>
      <c r="E120" s="8"/>
      <c r="F120" s="308"/>
      <c r="G120" s="308"/>
      <c r="H120" s="308"/>
      <c r="I120" s="308"/>
      <c r="J120" s="8"/>
      <c r="K120" s="308"/>
      <c r="L120" s="308"/>
      <c r="M120" s="308"/>
      <c r="N120" s="308"/>
      <c r="O120" s="8"/>
      <c r="P120" s="308"/>
      <c r="Q120" s="308"/>
      <c r="R120" s="308"/>
      <c r="S120" s="308"/>
      <c r="T120" s="8"/>
      <c r="U120" s="308"/>
      <c r="V120" s="308"/>
      <c r="W120" s="308"/>
      <c r="X120" s="309"/>
      <c r="Y120" s="8"/>
      <c r="Z120" s="309"/>
      <c r="AA120" s="309"/>
      <c r="AB120" s="309"/>
      <c r="AC120" s="309"/>
      <c r="AD120" s="8"/>
      <c r="AE120" s="8"/>
      <c r="AF120" s="8"/>
      <c r="AG120" s="8"/>
      <c r="AH120" s="8"/>
      <c r="AI120" s="8"/>
      <c r="AJ120" s="8"/>
      <c r="AK120" s="8"/>
    </row>
    <row r="121" ht="13.5" customHeight="1" spans="1:37" x14ac:dyDescent="0.25">
      <c r="A121" s="257" t="s">
        <v>3</v>
      </c>
      <c r="B121" s="40"/>
      <c r="C121" s="53" t="s">
        <v>330</v>
      </c>
      <c r="D121" s="11"/>
      <c r="E121" s="11"/>
      <c r="F121" s="54">
        <f t="shared" ref="F121:AG121" si="32">F$65</f>
        <v>0</v>
      </c>
      <c r="G121" s="54">
        <f t="shared" si="32"/>
        <v>0</v>
      </c>
      <c r="H121" s="54">
        <f t="shared" si="32"/>
        <v>0</v>
      </c>
      <c r="I121" s="54">
        <f t="shared" si="32"/>
        <v>0</v>
      </c>
      <c r="J121" s="54">
        <f t="shared" si="32"/>
        <v>2023</v>
      </c>
      <c r="K121" s="54">
        <f t="shared" si="32"/>
        <v>0</v>
      </c>
      <c r="L121" s="54">
        <f t="shared" si="32"/>
        <v>0</v>
      </c>
      <c r="M121" s="54">
        <f t="shared" si="32"/>
        <v>0</v>
      </c>
      <c r="N121" s="54">
        <f t="shared" si="32"/>
        <v>0</v>
      </c>
      <c r="O121" s="54">
        <f t="shared" si="32"/>
        <v>2024</v>
      </c>
      <c r="P121" s="54">
        <f t="shared" si="32"/>
        <v>0</v>
      </c>
      <c r="Q121" s="54">
        <f t="shared" si="32"/>
        <v>0</v>
      </c>
      <c r="R121" s="54">
        <f t="shared" si="32"/>
        <v>0</v>
      </c>
      <c r="S121" s="54">
        <f t="shared" si="32"/>
        <v>0</v>
      </c>
      <c r="T121" s="54">
        <f t="shared" si="32"/>
        <v>2025</v>
      </c>
      <c r="U121" s="54" t="str">
        <f t="shared" si="32"/>
        <v>1Q26e</v>
      </c>
      <c r="V121" s="54" t="str">
        <f t="shared" si="32"/>
        <v>2Q26e</v>
      </c>
      <c r="W121" s="54" t="str">
        <f t="shared" si="32"/>
        <v>3Q26</v>
      </c>
      <c r="X121" s="54" t="str">
        <f t="shared" si="32"/>
        <v>4Q26e</v>
      </c>
      <c r="Y121" s="54" t="str">
        <f t="shared" si="32"/>
        <v>2026e</v>
      </c>
      <c r="Z121" s="54" t="str">
        <f t="shared" si="32"/>
        <v>1Q27e</v>
      </c>
      <c r="AA121" s="54" t="str">
        <f t="shared" si="32"/>
        <v>2Q27e</v>
      </c>
      <c r="AB121" s="54" t="str">
        <f t="shared" si="32"/>
        <v>3Q27e</v>
      </c>
      <c r="AC121" s="54" t="str">
        <f t="shared" si="32"/>
        <v>4Q27e</v>
      </c>
      <c r="AD121" s="54" t="str">
        <f t="shared" si="32"/>
        <v>2027e</v>
      </c>
      <c r="AE121" s="54" t="str">
        <f t="shared" si="32"/>
        <v>2028e</v>
      </c>
      <c r="AF121" s="54" t="str">
        <f t="shared" si="32"/>
        <v>2029e</v>
      </c>
      <c r="AG121" s="55" t="str">
        <f t="shared" si="32"/>
        <v>2030e</v>
      </c>
      <c r="AH121" s="257" t="s">
        <v>3</v>
      </c>
      <c r="AI121" s="8"/>
      <c r="AJ121" s="8"/>
      <c r="AK121" s="8"/>
    </row>
    <row r="122" ht="13.5" customHeight="1" spans="1:37" x14ac:dyDescent="0.25">
      <c r="A122" s="257"/>
      <c r="B122" s="8"/>
      <c r="C122" s="8"/>
      <c r="D122" s="8"/>
      <c r="E122" s="8"/>
      <c r="F122" s="308"/>
      <c r="G122" s="308"/>
      <c r="H122" s="308"/>
      <c r="I122" s="308"/>
      <c r="J122" s="8"/>
      <c r="K122" s="308"/>
      <c r="L122" s="308"/>
      <c r="M122" s="308"/>
      <c r="N122" s="308"/>
      <c r="O122" s="8"/>
      <c r="P122" s="308"/>
      <c r="Q122" s="308"/>
      <c r="R122" s="308"/>
      <c r="S122" s="308"/>
      <c r="T122" s="8"/>
      <c r="U122" s="308"/>
      <c r="V122" s="308"/>
      <c r="W122" s="308"/>
      <c r="X122" s="309"/>
      <c r="Y122" s="8"/>
      <c r="Z122" s="309"/>
      <c r="AA122" s="309"/>
      <c r="AB122" s="309"/>
      <c r="AC122" s="309"/>
      <c r="AD122" s="8"/>
      <c r="AE122" s="8"/>
      <c r="AF122" s="8"/>
      <c r="AG122" s="8"/>
      <c r="AH122" s="8"/>
      <c r="AI122" s="8"/>
      <c r="AJ122" s="8"/>
      <c r="AK122" s="8"/>
    </row>
    <row r="123" ht="13.5" customHeight="1" spans="1:37" x14ac:dyDescent="0.25">
      <c r="A123" s="257"/>
      <c r="B123" s="8"/>
      <c r="C123" s="8" t="s">
        <v>331</v>
      </c>
      <c r="D123" s="8"/>
      <c r="E123" s="8"/>
      <c r="F123" s="415">
        <v>132.2</v>
      </c>
      <c r="G123" s="415">
        <v>181.6</v>
      </c>
      <c r="H123" s="415">
        <v>157.5</v>
      </c>
      <c r="I123" s="415">
        <v>140</v>
      </c>
      <c r="J123" s="275">
        <f>I123</f>
        <v>140</v>
      </c>
      <c r="K123" s="415">
        <v>92</v>
      </c>
      <c r="L123" s="415">
        <v>491</v>
      </c>
      <c r="M123" s="415">
        <v>83</v>
      </c>
      <c r="N123" s="415">
        <v>74</v>
      </c>
      <c r="O123" s="275">
        <f>N123</f>
        <v>74</v>
      </c>
      <c r="P123" s="415">
        <v>83</v>
      </c>
      <c r="Q123" s="415">
        <v>122</v>
      </c>
      <c r="R123" s="415">
        <v>84</v>
      </c>
      <c r="S123" s="415">
        <v>76</v>
      </c>
      <c r="T123" s="275">
        <f>S123</f>
        <v>76</v>
      </c>
      <c r="U123" s="415"/>
      <c r="V123" s="415"/>
      <c r="W123" s="415"/>
      <c r="X123" s="274">
        <f>X106</f>
        <v>58.332247659647805</v>
      </c>
      <c r="Y123" s="275">
        <f>X123</f>
        <v>58.332247659647805</v>
      </c>
      <c r="Z123" s="274">
        <f>Z106</f>
        <v>57.31769938501009</v>
      </c>
      <c r="AA123" s="274">
        <f>AA106</f>
        <v>60.40384033886687</v>
      </c>
      <c r="AB123" s="274">
        <f>AB106</f>
        <v>60.149034243360575</v>
      </c>
      <c r="AC123" s="274">
        <f>AC106</f>
        <v>59.47452618091313</v>
      </c>
      <c r="AD123" s="275">
        <f>AC123</f>
        <v>59.47452618091313</v>
      </c>
      <c r="AE123" s="275">
        <f>AE106</f>
        <v>248.82643871512903</v>
      </c>
      <c r="AF123" s="275">
        <f>AF106</f>
        <v>261.4636510962911</v>
      </c>
      <c r="AG123" s="275">
        <f>AG106</f>
        <v>274.03987419113093</v>
      </c>
      <c r="AH123" s="8"/>
      <c r="AI123" s="8"/>
      <c r="AJ123" s="8"/>
      <c r="AK123" s="8"/>
    </row>
    <row r="124" ht="13.5" customHeight="1" spans="1:37" x14ac:dyDescent="0.25">
      <c r="A124" s="257"/>
      <c r="B124" s="8"/>
      <c r="C124" s="8" t="s">
        <v>332</v>
      </c>
      <c r="D124" s="8"/>
      <c r="E124" s="8"/>
      <c r="F124" s="356">
        <v>1686.4</v>
      </c>
      <c r="G124" s="356">
        <v>1740</v>
      </c>
      <c r="H124" s="356">
        <v>1829.7</v>
      </c>
      <c r="I124" s="356">
        <v>1768</v>
      </c>
      <c r="J124" s="153">
        <f>I124</f>
        <v>1768</v>
      </c>
      <c r="K124" s="356">
        <v>1763</v>
      </c>
      <c r="L124" s="356">
        <v>1817.8</v>
      </c>
      <c r="M124" s="356">
        <v>1847.5</v>
      </c>
      <c r="N124" s="356">
        <v>1821</v>
      </c>
      <c r="O124" s="153">
        <f>N124</f>
        <v>1821</v>
      </c>
      <c r="P124" s="356">
        <v>1854</v>
      </c>
      <c r="Q124" s="356">
        <v>1880</v>
      </c>
      <c r="R124" s="356">
        <v>1900</v>
      </c>
      <c r="S124" s="356">
        <v>1897</v>
      </c>
      <c r="T124" s="153">
        <f>S124</f>
        <v>1897</v>
      </c>
      <c r="U124" s="356"/>
      <c r="V124" s="356"/>
      <c r="W124" s="356"/>
      <c r="X124" s="358">
        <f>X165</f>
        <v>2015.4031035635867</v>
      </c>
      <c r="Y124" s="153">
        <f>X124</f>
        <v>2015.4031035635867</v>
      </c>
      <c r="Z124" s="358">
        <f t="shared" ref="Z124:AC126" si="33">Z165</f>
        <v>1973.3736809098903</v>
      </c>
      <c r="AA124" s="358">
        <f t="shared" si="33"/>
        <v>2029.1491445406596</v>
      </c>
      <c r="AB124" s="358">
        <f t="shared" si="33"/>
        <v>2028.4567486956514</v>
      </c>
      <c r="AC124" s="358">
        <f t="shared" si="33"/>
        <v>2030.2895191478256</v>
      </c>
      <c r="AD124" s="153">
        <f>AC124</f>
        <v>2030.2895191478256</v>
      </c>
      <c r="AE124" s="153">
        <f t="shared" ref="AE124:AG126" si="34">AE165</f>
        <v>2156.561002862667</v>
      </c>
      <c r="AF124" s="153">
        <f t="shared" si="34"/>
        <v>2233.402876987736</v>
      </c>
      <c r="AG124" s="153">
        <f t="shared" si="34"/>
        <v>2340.828030441708</v>
      </c>
      <c r="AH124" s="8"/>
      <c r="AI124" s="8"/>
      <c r="AJ124" s="8"/>
      <c r="AK124" s="8"/>
    </row>
    <row r="125" ht="13.5" customHeight="1" spans="1:37" x14ac:dyDescent="0.25">
      <c r="A125" s="257"/>
      <c r="B125" s="8"/>
      <c r="C125" s="8" t="s">
        <v>333</v>
      </c>
      <c r="D125" s="8"/>
      <c r="E125" s="8"/>
      <c r="F125" s="356">
        <v>97.9</v>
      </c>
      <c r="G125" s="356">
        <v>96.1</v>
      </c>
      <c r="H125" s="356">
        <v>100</v>
      </c>
      <c r="I125" s="356">
        <v>98</v>
      </c>
      <c r="J125" s="153">
        <f>I125</f>
        <v>98</v>
      </c>
      <c r="K125" s="356">
        <v>101.4</v>
      </c>
      <c r="L125" s="356">
        <v>99.9</v>
      </c>
      <c r="M125" s="356">
        <v>97.7</v>
      </c>
      <c r="N125" s="356">
        <v>98</v>
      </c>
      <c r="O125" s="153">
        <f>N125</f>
        <v>98</v>
      </c>
      <c r="P125" s="356">
        <v>102</v>
      </c>
      <c r="Q125" s="356">
        <v>104</v>
      </c>
      <c r="R125" s="356">
        <v>103</v>
      </c>
      <c r="S125" s="356">
        <v>106</v>
      </c>
      <c r="T125" s="153">
        <f>S125</f>
        <v>106</v>
      </c>
      <c r="U125" s="356"/>
      <c r="V125" s="356"/>
      <c r="W125" s="356"/>
      <c r="X125" s="358">
        <f>X166</f>
        <v>0</v>
      </c>
      <c r="Y125" s="153">
        <f>X125</f>
        <v>0</v>
      </c>
      <c r="Z125" s="358">
        <f t="shared" si="33"/>
        <v>0</v>
      </c>
      <c r="AA125" s="358">
        <f t="shared" si="33"/>
        <v>0</v>
      </c>
      <c r="AB125" s="358">
        <f t="shared" si="33"/>
        <v>0</v>
      </c>
      <c r="AC125" s="358">
        <f t="shared" si="33"/>
        <v>0</v>
      </c>
      <c r="AD125" s="153">
        <f>AC125</f>
        <v>0</v>
      </c>
      <c r="AE125" s="153">
        <f t="shared" si="34"/>
        <v>0</v>
      </c>
      <c r="AF125" s="153">
        <f t="shared" si="34"/>
        <v>0</v>
      </c>
      <c r="AG125" s="153">
        <f t="shared" si="34"/>
        <v>0</v>
      </c>
      <c r="AH125" s="8"/>
      <c r="AI125" s="8"/>
      <c r="AJ125" s="8"/>
      <c r="AK125" s="8"/>
    </row>
    <row r="126" ht="13.5" customHeight="1" spans="1:37" x14ac:dyDescent="0.25">
      <c r="A126" s="257"/>
      <c r="B126" s="8"/>
      <c r="C126" s="8" t="s">
        <v>334</v>
      </c>
      <c r="D126" s="8"/>
      <c r="E126" s="8"/>
      <c r="F126" s="350">
        <v>324.9</v>
      </c>
      <c r="G126" s="350">
        <v>244</v>
      </c>
      <c r="H126" s="350">
        <v>261.2</v>
      </c>
      <c r="I126" s="350">
        <v>375</v>
      </c>
      <c r="J126" s="351">
        <f>I126</f>
        <v>375</v>
      </c>
      <c r="K126" s="350">
        <v>317.2</v>
      </c>
      <c r="L126" s="350">
        <v>251</v>
      </c>
      <c r="M126" s="350">
        <v>320.2</v>
      </c>
      <c r="N126" s="350">
        <v>413</v>
      </c>
      <c r="O126" s="351">
        <f>N126</f>
        <v>413</v>
      </c>
      <c r="P126" s="350">
        <v>282</v>
      </c>
      <c r="Q126" s="350">
        <v>310</v>
      </c>
      <c r="R126" s="350">
        <v>397</v>
      </c>
      <c r="S126" s="350">
        <v>444</v>
      </c>
      <c r="T126" s="351">
        <f>S126</f>
        <v>444</v>
      </c>
      <c r="U126" s="350"/>
      <c r="V126" s="350"/>
      <c r="W126" s="350"/>
      <c r="X126" s="353">
        <f>X167</f>
        <v>461.32480609799995</v>
      </c>
      <c r="Y126" s="351">
        <f>X126</f>
        <v>461.32480609799995</v>
      </c>
      <c r="Z126" s="353">
        <f t="shared" si="33"/>
        <v>383.56253487199996</v>
      </c>
      <c r="AA126" s="353">
        <f t="shared" si="33"/>
        <v>404.214585808</v>
      </c>
      <c r="AB126" s="353">
        <f t="shared" si="33"/>
        <v>402.5094567999999</v>
      </c>
      <c r="AC126" s="353">
        <f t="shared" si="33"/>
        <v>397.99573721599995</v>
      </c>
      <c r="AD126" s="351">
        <f>AC126</f>
        <v>397.99573721599995</v>
      </c>
      <c r="AE126" s="351">
        <f t="shared" si="34"/>
        <v>416.2784820429619</v>
      </c>
      <c r="AF126" s="351">
        <f t="shared" si="34"/>
        <v>437.4201244441834</v>
      </c>
      <c r="AG126" s="351">
        <f t="shared" si="34"/>
        <v>458.45973376699794</v>
      </c>
      <c r="AH126" s="8"/>
      <c r="AI126" s="8"/>
      <c r="AJ126" s="8"/>
      <c r="AK126" s="8"/>
    </row>
    <row r="127" ht="13.5" customHeight="1" spans="1:37" x14ac:dyDescent="0.25">
      <c r="A127" s="257"/>
      <c r="B127" s="8"/>
      <c r="C127" s="130" t="s">
        <v>335</v>
      </c>
      <c r="D127" s="8"/>
      <c r="E127" s="8"/>
      <c r="F127" s="348">
        <f>SUM(F123:F126)</f>
        <v>2241.4</v>
      </c>
      <c r="G127" s="348">
        <f>SUM(G123:G126)</f>
        <v>2261.7</v>
      </c>
      <c r="H127" s="348">
        <f>SUM(H123:H126)</f>
        <v>2348.3999999999996</v>
      </c>
      <c r="I127" s="348">
        <f>SUM(I123:I126)</f>
        <v>2381</v>
      </c>
      <c r="J127" s="275">
        <f>I127</f>
        <v>2381</v>
      </c>
      <c r="K127" s="348">
        <f>SUM(K123:K126)</f>
        <v>2273.6</v>
      </c>
      <c r="L127" s="348">
        <f>SUM(L123:L126)</f>
        <v>2659.7000000000003</v>
      </c>
      <c r="M127" s="348">
        <f>SUM(M123:M126)</f>
        <v>2348.4</v>
      </c>
      <c r="N127" s="348">
        <f>SUM(N123:N126)</f>
        <v>2406</v>
      </c>
      <c r="O127" s="275">
        <f>N127</f>
        <v>2406</v>
      </c>
      <c r="P127" s="348">
        <f>SUM(P123:P126)</f>
        <v>2321</v>
      </c>
      <c r="Q127" s="348">
        <f>SUM(Q123:Q126)</f>
        <v>2416</v>
      </c>
      <c r="R127" s="348">
        <f>SUM(R123:R126)</f>
        <v>2484</v>
      </c>
      <c r="S127" s="348">
        <f>SUM(S123:S126)</f>
        <v>2523</v>
      </c>
      <c r="T127" s="275">
        <f>S127</f>
        <v>2523</v>
      </c>
      <c r="U127" s="348">
        <f>SUM(U123:U126)</f>
        <v>0</v>
      </c>
      <c r="V127" s="348">
        <f>SUM(V123:V126)</f>
        <v>0</v>
      </c>
      <c r="W127" s="348">
        <f>SUM(W123:W126)</f>
        <v>0</v>
      </c>
      <c r="X127" s="274">
        <f>SUM(X123:X126)</f>
        <v>2535.0601573212343</v>
      </c>
      <c r="Y127" s="275">
        <f>X127</f>
        <v>2535.0601573212343</v>
      </c>
      <c r="Z127" s="274">
        <f>SUM(Z123:Z126)</f>
        <v>2414.2539151669002</v>
      </c>
      <c r="AA127" s="274">
        <f>SUM(AA123:AA126)</f>
        <v>2493.767570687526</v>
      </c>
      <c r="AB127" s="274">
        <f>SUM(AB123:AB126)</f>
        <v>2491.115239739012</v>
      </c>
      <c r="AC127" s="274">
        <f>SUM(AC123:AC126)</f>
        <v>2487.7597825447383</v>
      </c>
      <c r="AD127" s="275">
        <f>AC127</f>
        <v>2487.7597825447383</v>
      </c>
      <c r="AE127" s="275">
        <f>SUM(AE123:AE126)</f>
        <v>2821.665923620758</v>
      </c>
      <c r="AF127" s="275">
        <f>SUM(AF123:AF126)</f>
        <v>2932.28665252821</v>
      </c>
      <c r="AG127" s="275">
        <f>SUM(AG123:AG126)</f>
        <v>3073.327638399837</v>
      </c>
      <c r="AH127" s="8"/>
      <c r="AI127" s="8"/>
      <c r="AJ127" s="8"/>
      <c r="AK127" s="8"/>
    </row>
    <row r="128" ht="13.5" customHeight="1" spans="1:37" x14ac:dyDescent="0.25">
      <c r="A128" s="257"/>
      <c r="B128" s="8"/>
      <c r="C128" s="8"/>
      <c r="D128" s="8"/>
      <c r="E128" s="8"/>
      <c r="F128" s="308"/>
      <c r="G128" s="308"/>
      <c r="H128" s="308"/>
      <c r="I128" s="308"/>
      <c r="J128" s="8"/>
      <c r="K128" s="308"/>
      <c r="L128" s="308"/>
      <c r="M128" s="308"/>
      <c r="N128" s="308"/>
      <c r="O128" s="8"/>
      <c r="P128" s="308"/>
      <c r="Q128" s="308"/>
      <c r="R128" s="308"/>
      <c r="S128" s="308"/>
      <c r="T128" s="8"/>
      <c r="U128" s="308"/>
      <c r="V128" s="308"/>
      <c r="W128" s="308"/>
      <c r="X128" s="274"/>
      <c r="Y128" s="8"/>
      <c r="Z128" s="274"/>
      <c r="AA128" s="274"/>
      <c r="AB128" s="274"/>
      <c r="AC128" s="274"/>
      <c r="AD128" s="8"/>
      <c r="AE128" s="275"/>
      <c r="AF128" s="275"/>
      <c r="AG128" s="275"/>
      <c r="AH128" s="8"/>
      <c r="AI128" s="8"/>
      <c r="AJ128" s="8"/>
      <c r="AK128" s="8"/>
    </row>
    <row r="129" ht="13.5" customHeight="1" spans="1:37" x14ac:dyDescent="0.25">
      <c r="A129" s="257"/>
      <c r="B129" s="8"/>
      <c r="C129" s="8" t="s">
        <v>336</v>
      </c>
      <c r="D129" s="8"/>
      <c r="E129" s="8"/>
      <c r="F129" s="415">
        <v>10658.6</v>
      </c>
      <c r="G129" s="415">
        <v>10561.7</v>
      </c>
      <c r="H129" s="415">
        <v>10701.4</v>
      </c>
      <c r="I129" s="415">
        <v>11351</v>
      </c>
      <c r="J129" s="275">
        <f>I129</f>
        <v>11351</v>
      </c>
      <c r="K129" s="415">
        <v>11310.5</v>
      </c>
      <c r="L129" s="415">
        <v>11446.5</v>
      </c>
      <c r="M129" s="415">
        <v>11525.6</v>
      </c>
      <c r="N129" s="415">
        <v>11877</v>
      </c>
      <c r="O129" s="275">
        <f>N129</f>
        <v>11877</v>
      </c>
      <c r="P129" s="415">
        <v>11949</v>
      </c>
      <c r="Q129" s="415">
        <v>12049</v>
      </c>
      <c r="R129" s="415">
        <v>12192</v>
      </c>
      <c r="S129" s="415">
        <v>12639</v>
      </c>
      <c r="T129" s="275">
        <f>S129</f>
        <v>12639</v>
      </c>
      <c r="U129" s="415"/>
      <c r="V129" s="415"/>
      <c r="W129" s="415"/>
      <c r="X129" s="274">
        <f>X199</f>
        <v>12225.409495463613</v>
      </c>
      <c r="Y129" s="275">
        <f>X129</f>
        <v>12225.409495463613</v>
      </c>
      <c r="Z129" s="274">
        <f>Z199</f>
        <v>12223.925315500273</v>
      </c>
      <c r="AA129" s="274">
        <f>AA199</f>
        <v>12261.636408656364</v>
      </c>
      <c r="AB129" s="274">
        <f>AB199</f>
        <v>12278.122690388751</v>
      </c>
      <c r="AC129" s="274">
        <f>AC199</f>
        <v>12319.54840163923</v>
      </c>
      <c r="AD129" s="275">
        <f>AC129</f>
        <v>12319.54840163923</v>
      </c>
      <c r="AE129" s="275">
        <f>AE199</f>
        <v>12397.11712117187</v>
      </c>
      <c r="AF129" s="275">
        <f>AF199</f>
        <v>12427.3819803219</v>
      </c>
      <c r="AG129" s="275">
        <f>AG199</f>
        <v>12466.501653001646</v>
      </c>
      <c r="AH129" s="8"/>
      <c r="AI129" s="8"/>
      <c r="AJ129" s="8"/>
      <c r="AK129" s="8"/>
    </row>
    <row r="130" ht="13.5" customHeight="1" spans="1:37" x14ac:dyDescent="0.25">
      <c r="A130" s="257"/>
      <c r="B130" s="8"/>
      <c r="C130" s="8" t="s">
        <v>337</v>
      </c>
      <c r="D130" s="8"/>
      <c r="E130" s="8"/>
      <c r="F130" s="356">
        <v>355.5</v>
      </c>
      <c r="G130" s="356">
        <v>431.5</v>
      </c>
      <c r="H130" s="356">
        <v>447.2</v>
      </c>
      <c r="I130" s="356">
        <v>496</v>
      </c>
      <c r="J130" s="153">
        <f>I130</f>
        <v>496</v>
      </c>
      <c r="K130" s="356">
        <v>482.6</v>
      </c>
      <c r="L130" s="356">
        <v>463.4</v>
      </c>
      <c r="M130" s="356">
        <v>454.8</v>
      </c>
      <c r="N130" s="356">
        <v>546</v>
      </c>
      <c r="O130" s="153">
        <f>N130</f>
        <v>546</v>
      </c>
      <c r="P130" s="356">
        <v>632</v>
      </c>
      <c r="Q130" s="356">
        <v>612</v>
      </c>
      <c r="R130" s="356">
        <v>599</v>
      </c>
      <c r="S130" s="356">
        <v>655</v>
      </c>
      <c r="T130" s="153">
        <f>S130</f>
        <v>655</v>
      </c>
      <c r="U130" s="356"/>
      <c r="V130" s="356"/>
      <c r="W130" s="356"/>
      <c r="X130" s="358">
        <f>X213</f>
        <v>0</v>
      </c>
      <c r="Y130" s="153">
        <f>X130</f>
        <v>0</v>
      </c>
      <c r="Z130" s="358">
        <f>Z213</f>
        <v>0</v>
      </c>
      <c r="AA130" s="358">
        <f>AA213</f>
        <v>0</v>
      </c>
      <c r="AB130" s="358">
        <f>AB213</f>
        <v>0</v>
      </c>
      <c r="AC130" s="358">
        <f>AC213</f>
        <v>0</v>
      </c>
      <c r="AD130" s="153">
        <f>AC130</f>
        <v>0</v>
      </c>
      <c r="AE130" s="153">
        <f>AE213</f>
        <v>0</v>
      </c>
      <c r="AF130" s="153">
        <f>AF213</f>
        <v>0</v>
      </c>
      <c r="AG130" s="153">
        <f>AG213</f>
        <v>0</v>
      </c>
      <c r="AH130" s="8"/>
      <c r="AI130" s="8"/>
      <c r="AJ130" s="8"/>
      <c r="AK130" s="8"/>
    </row>
    <row r="131" ht="13.5" customHeight="1" spans="1:37" x14ac:dyDescent="0.25">
      <c r="A131" s="257"/>
      <c r="B131" s="8"/>
      <c r="C131" s="8" t="s">
        <v>338</v>
      </c>
      <c r="D131" s="8"/>
      <c r="E131" s="8"/>
      <c r="F131" s="356">
        <v>14622.2</v>
      </c>
      <c r="G131" s="356">
        <v>15353.6</v>
      </c>
      <c r="H131" s="356">
        <v>15290.7</v>
      </c>
      <c r="I131" s="356">
        <v>15834</v>
      </c>
      <c r="J131" s="153">
        <f>I131</f>
        <v>15834</v>
      </c>
      <c r="K131" s="356">
        <v>15852.3</v>
      </c>
      <c r="L131" s="356">
        <v>15864.9</v>
      </c>
      <c r="M131" s="356">
        <v>15883.1</v>
      </c>
      <c r="N131" s="356">
        <v>15982</v>
      </c>
      <c r="O131" s="153">
        <f>N131</f>
        <v>15982</v>
      </c>
      <c r="P131" s="356">
        <v>16585</v>
      </c>
      <c r="Q131" s="356">
        <v>16626</v>
      </c>
      <c r="R131" s="356">
        <v>16699</v>
      </c>
      <c r="S131" s="356">
        <v>16715</v>
      </c>
      <c r="T131" s="153">
        <f>S131</f>
        <v>16715</v>
      </c>
      <c r="U131" s="356"/>
      <c r="V131" s="356"/>
      <c r="W131" s="356"/>
      <c r="X131" s="358">
        <f>X221</f>
        <v>0</v>
      </c>
      <c r="Y131" s="153">
        <f>X131</f>
        <v>0</v>
      </c>
      <c r="Z131" s="358">
        <f t="shared" ref="Z131:AC132" si="35">Z221</f>
        <v>0</v>
      </c>
      <c r="AA131" s="358">
        <f t="shared" si="35"/>
        <v>0</v>
      </c>
      <c r="AB131" s="358">
        <f t="shared" si="35"/>
        <v>0</v>
      </c>
      <c r="AC131" s="358">
        <f t="shared" si="35"/>
        <v>0</v>
      </c>
      <c r="AD131" s="153">
        <f>AC131</f>
        <v>0</v>
      </c>
      <c r="AE131" s="153">
        <f t="shared" ref="AE131:AG132" si="36">AE221</f>
        <v>0</v>
      </c>
      <c r="AF131" s="153">
        <f t="shared" si="36"/>
        <v>0</v>
      </c>
      <c r="AG131" s="153">
        <f t="shared" si="36"/>
        <v>0</v>
      </c>
      <c r="AH131" s="8"/>
      <c r="AI131" s="8"/>
      <c r="AJ131" s="8"/>
      <c r="AK131" s="8"/>
    </row>
    <row r="132" ht="13.5" customHeight="1" spans="1:37" x14ac:dyDescent="0.25">
      <c r="A132" s="257"/>
      <c r="B132" s="8"/>
      <c r="C132" s="8" t="s">
        <v>339</v>
      </c>
      <c r="D132" s="8"/>
      <c r="E132" s="8"/>
      <c r="F132" s="350">
        <v>1203.7</v>
      </c>
      <c r="G132" s="350">
        <v>1214.8</v>
      </c>
      <c r="H132" s="350">
        <v>1255.1</v>
      </c>
      <c r="I132" s="350">
        <v>1348</v>
      </c>
      <c r="J132" s="351">
        <f>I132</f>
        <v>1348</v>
      </c>
      <c r="K132" s="350">
        <v>1463</v>
      </c>
      <c r="L132" s="350">
        <v>1499.5</v>
      </c>
      <c r="M132" s="350">
        <v>1602.1</v>
      </c>
      <c r="N132" s="350">
        <v>1591</v>
      </c>
      <c r="O132" s="351">
        <f>N132</f>
        <v>1591</v>
      </c>
      <c r="P132" s="350">
        <v>1616</v>
      </c>
      <c r="Q132" s="350">
        <v>1694</v>
      </c>
      <c r="R132" s="350">
        <v>1815</v>
      </c>
      <c r="S132" s="350">
        <v>1834</v>
      </c>
      <c r="T132" s="351">
        <f>S132</f>
        <v>1834</v>
      </c>
      <c r="U132" s="350"/>
      <c r="V132" s="350"/>
      <c r="W132" s="350"/>
      <c r="X132" s="353">
        <f>X222</f>
        <v>0</v>
      </c>
      <c r="Y132" s="351">
        <f>X132</f>
        <v>0</v>
      </c>
      <c r="Z132" s="353">
        <f t="shared" si="35"/>
        <v>0</v>
      </c>
      <c r="AA132" s="353">
        <f t="shared" si="35"/>
        <v>0</v>
      </c>
      <c r="AB132" s="353">
        <f t="shared" si="35"/>
        <v>0</v>
      </c>
      <c r="AC132" s="353">
        <f t="shared" si="35"/>
        <v>0</v>
      </c>
      <c r="AD132" s="351">
        <f>AC132</f>
        <v>0</v>
      </c>
      <c r="AE132" s="351">
        <f t="shared" si="36"/>
        <v>0</v>
      </c>
      <c r="AF132" s="351">
        <f t="shared" si="36"/>
        <v>0</v>
      </c>
      <c r="AG132" s="351">
        <f t="shared" si="36"/>
        <v>0</v>
      </c>
      <c r="AH132" s="8"/>
      <c r="AI132" s="8"/>
      <c r="AJ132" s="8"/>
      <c r="AK132" s="8"/>
    </row>
    <row r="133" ht="13.5" customHeight="1" spans="1:37" x14ac:dyDescent="0.25">
      <c r="A133" s="257"/>
      <c r="B133" s="8"/>
      <c r="C133" s="130" t="s">
        <v>340</v>
      </c>
      <c r="D133" s="8"/>
      <c r="E133" s="8"/>
      <c r="F133" s="348">
        <f>SUM(F129:F132)</f>
        <v>26840.000000000004</v>
      </c>
      <c r="G133" s="348">
        <f>SUM(G129:G132)</f>
        <v>27561.600000000002</v>
      </c>
      <c r="H133" s="348">
        <f>SUM(H129:H132)</f>
        <v>27694.4</v>
      </c>
      <c r="I133" s="348">
        <f>SUM(I129:I132)</f>
        <v>29029</v>
      </c>
      <c r="J133" s="275">
        <f>I133</f>
        <v>29029</v>
      </c>
      <c r="K133" s="348">
        <f>SUM(K129:K132)</f>
        <v>29108.4</v>
      </c>
      <c r="L133" s="348">
        <f>SUM(L129:L132)</f>
        <v>29274.3</v>
      </c>
      <c r="M133" s="348">
        <f>SUM(M129:M132)</f>
        <v>29465.6</v>
      </c>
      <c r="N133" s="348">
        <f>SUM(N129:N132)</f>
        <v>29996</v>
      </c>
      <c r="O133" s="275">
        <f>N133</f>
        <v>29996</v>
      </c>
      <c r="P133" s="348">
        <f>SUM(P129:P132)</f>
        <v>30782</v>
      </c>
      <c r="Q133" s="348">
        <f>SUM(Q129:Q132)</f>
        <v>30981</v>
      </c>
      <c r="R133" s="348">
        <f>SUM(R129:R132)</f>
        <v>31305</v>
      </c>
      <c r="S133" s="348">
        <f>SUM(S129:S132)</f>
        <v>31843</v>
      </c>
      <c r="T133" s="275">
        <f>S133</f>
        <v>31843</v>
      </c>
      <c r="U133" s="348">
        <f>SUM(U129:U132)</f>
        <v>0</v>
      </c>
      <c r="V133" s="348">
        <f>SUM(V129:V132)</f>
        <v>0</v>
      </c>
      <c r="W133" s="348">
        <f>SUM(W129:W132)</f>
        <v>0</v>
      </c>
      <c r="X133" s="274">
        <f>SUM(X129:X132)</f>
        <v>31362.659495463613</v>
      </c>
      <c r="Y133" s="275">
        <f>X133</f>
        <v>31362.659495463613</v>
      </c>
      <c r="Z133" s="274">
        <f>SUM(Z129:Z132)</f>
        <v>31446.625515500273</v>
      </c>
      <c r="AA133" s="274">
        <f>SUM(AA129:AA132)</f>
        <v>31573.546617456366</v>
      </c>
      <c r="AB133" s="274">
        <f>SUM(AB129:AB132)</f>
        <v>31683.168148375953</v>
      </c>
      <c r="AC133" s="274">
        <f>SUM(AC129:AC132)</f>
        <v>31821.82705977787</v>
      </c>
      <c r="AD133" s="275">
        <f>AC133</f>
        <v>31821.82705977787</v>
      </c>
      <c r="AE133" s="275">
        <f>SUM(AE129:AE132)</f>
        <v>32056.27712806394</v>
      </c>
      <c r="AF133" s="275">
        <f>SUM(AF129:AF132)</f>
        <v>32251.62730767573</v>
      </c>
      <c r="AG133" s="275">
        <f>SUM(AG129:AG132)</f>
        <v>32474.78015327025</v>
      </c>
      <c r="AH133" s="8"/>
      <c r="AI133" s="8"/>
      <c r="AJ133" s="8"/>
      <c r="AK133" s="8"/>
    </row>
    <row r="134" ht="13.5" customHeight="1" spans="1:37" x14ac:dyDescent="0.25">
      <c r="A134" s="257"/>
      <c r="B134" s="8"/>
      <c r="C134" s="8"/>
      <c r="D134" s="8"/>
      <c r="E134" s="8"/>
      <c r="F134" s="308"/>
      <c r="G134" s="308"/>
      <c r="H134" s="308"/>
      <c r="I134" s="308"/>
      <c r="J134" s="8"/>
      <c r="K134" s="308"/>
      <c r="L134" s="308"/>
      <c r="M134" s="308"/>
      <c r="N134" s="308"/>
      <c r="O134" s="8"/>
      <c r="P134" s="308"/>
      <c r="Q134" s="308"/>
      <c r="R134" s="308"/>
      <c r="S134" s="308"/>
      <c r="T134" s="8"/>
      <c r="U134" s="308"/>
      <c r="V134" s="308"/>
      <c r="W134" s="308"/>
      <c r="X134" s="274"/>
      <c r="Y134" s="8"/>
      <c r="Z134" s="274"/>
      <c r="AA134" s="274"/>
      <c r="AB134" s="274"/>
      <c r="AC134" s="274"/>
      <c r="AD134" s="8"/>
      <c r="AE134" s="275"/>
      <c r="AF134" s="275"/>
      <c r="AG134" s="275"/>
      <c r="AH134" s="8"/>
      <c r="AI134" s="8"/>
      <c r="AJ134" s="8"/>
      <c r="AK134" s="8"/>
    </row>
    <row r="135" ht="13.5" customHeight="1" spans="1:37" x14ac:dyDescent="0.25">
      <c r="A135" s="257"/>
      <c r="B135" s="8"/>
      <c r="C135" s="130" t="s">
        <v>341</v>
      </c>
      <c r="D135" s="8"/>
      <c r="E135" s="8"/>
      <c r="F135" s="348">
        <f>SUM(F127,F133)</f>
        <v>29081.400000000005</v>
      </c>
      <c r="G135" s="348">
        <f>SUM(G127,G133)</f>
        <v>29823.300000000003</v>
      </c>
      <c r="H135" s="348">
        <f>SUM(H127,H133)</f>
        <v>30042.800000000003</v>
      </c>
      <c r="I135" s="348">
        <f>SUM(I127,I133)</f>
        <v>31410</v>
      </c>
      <c r="J135" s="275">
        <f>SUM(J127,J133)</f>
        <v>31410</v>
      </c>
      <c r="K135" s="348">
        <f t="shared" ref="K135:AG135" si="37">SUM(K127,K133)</f>
        <v>31382</v>
      </c>
      <c r="L135" s="348">
        <f t="shared" si="37"/>
        <v>31934</v>
      </c>
      <c r="M135" s="348">
        <f t="shared" si="37"/>
        <v>31814</v>
      </c>
      <c r="N135" s="348">
        <f t="shared" si="37"/>
        <v>32402</v>
      </c>
      <c r="O135" s="275">
        <f t="shared" si="37"/>
        <v>32402</v>
      </c>
      <c r="P135" s="348">
        <f t="shared" si="37"/>
        <v>33103</v>
      </c>
      <c r="Q135" s="348">
        <f t="shared" si="37"/>
        <v>33397</v>
      </c>
      <c r="R135" s="348">
        <f t="shared" si="37"/>
        <v>33789</v>
      </c>
      <c r="S135" s="348">
        <f t="shared" si="37"/>
        <v>34366</v>
      </c>
      <c r="T135" s="275">
        <f t="shared" si="37"/>
        <v>34366</v>
      </c>
      <c r="U135" s="348">
        <f t="shared" si="37"/>
        <v>0</v>
      </c>
      <c r="V135" s="348">
        <f t="shared" si="37"/>
        <v>0</v>
      </c>
      <c r="W135" s="348">
        <f>SUM(W127,W133)</f>
        <v>0</v>
      </c>
      <c r="X135" s="274">
        <f>SUM(X127,X133)</f>
        <v>33897.71965278485</v>
      </c>
      <c r="Y135" s="275">
        <f t="shared" si="37"/>
        <v>33897.71965278485</v>
      </c>
      <c r="Z135" s="274">
        <f t="shared" si="37"/>
        <v>33860.87943066717</v>
      </c>
      <c r="AA135" s="274">
        <f t="shared" si="37"/>
        <v>34067.31418814389</v>
      </c>
      <c r="AB135" s="274">
        <f t="shared" si="37"/>
        <v>34174.28338811496</v>
      </c>
      <c r="AC135" s="274">
        <f t="shared" si="37"/>
        <v>34309.586842322606</v>
      </c>
      <c r="AD135" s="275">
        <f t="shared" si="37"/>
        <v>34309.586842322606</v>
      </c>
      <c r="AE135" s="275">
        <f t="shared" si="37"/>
        <v>34877.9430516847</v>
      </c>
      <c r="AF135" s="275">
        <f t="shared" si="37"/>
        <v>35183.91396020394</v>
      </c>
      <c r="AG135" s="275">
        <f t="shared" si="37"/>
        <v>35548.10779167009</v>
      </c>
      <c r="AH135" s="8"/>
      <c r="AI135" s="8"/>
      <c r="AJ135" s="8"/>
      <c r="AK135" s="8"/>
    </row>
    <row r="136" ht="13.5" customHeight="1" spans="1:37" x14ac:dyDescent="0.25">
      <c r="A136" s="257"/>
      <c r="B136" s="8"/>
      <c r="C136" s="8"/>
      <c r="D136" s="8"/>
      <c r="E136" s="8"/>
      <c r="F136" s="308"/>
      <c r="G136" s="308"/>
      <c r="H136" s="308"/>
      <c r="I136" s="308"/>
      <c r="J136" s="8"/>
      <c r="K136" s="308"/>
      <c r="L136" s="308"/>
      <c r="M136" s="308"/>
      <c r="N136" s="308"/>
      <c r="O136" s="8"/>
      <c r="P136" s="308"/>
      <c r="Q136" s="308"/>
      <c r="R136" s="308"/>
      <c r="S136" s="308"/>
      <c r="T136" s="8"/>
      <c r="U136" s="308"/>
      <c r="V136" s="308"/>
      <c r="W136" s="308"/>
      <c r="X136" s="309"/>
      <c r="Y136" s="8"/>
      <c r="Z136" s="309"/>
      <c r="AA136" s="309"/>
      <c r="AB136" s="309"/>
      <c r="AC136" s="309"/>
      <c r="AD136" s="8"/>
      <c r="AE136" s="8"/>
      <c r="AF136" s="8"/>
      <c r="AG136" s="8"/>
      <c r="AH136" s="8"/>
      <c r="AI136" s="8"/>
      <c r="AJ136" s="8"/>
      <c r="AK136" s="8"/>
    </row>
    <row r="137" ht="13.5" customHeight="1" spans="1:37" x14ac:dyDescent="0.25">
      <c r="A137" s="257"/>
      <c r="B137" s="8"/>
      <c r="C137" s="8" t="s">
        <v>342</v>
      </c>
      <c r="D137" s="8"/>
      <c r="E137" s="8"/>
      <c r="F137" s="415">
        <v>984.2</v>
      </c>
      <c r="G137" s="415">
        <v>1098.4</v>
      </c>
      <c r="H137" s="415">
        <v>1198.2</v>
      </c>
      <c r="I137" s="415">
        <v>1412</v>
      </c>
      <c r="J137" s="275">
        <f>I137</f>
        <v>1412</v>
      </c>
      <c r="K137" s="415">
        <v>1179.2</v>
      </c>
      <c r="L137" s="415">
        <v>1285.5</v>
      </c>
      <c r="M137" s="415">
        <v>1225.4</v>
      </c>
      <c r="N137" s="415">
        <v>1345</v>
      </c>
      <c r="O137" s="275">
        <f>N137</f>
        <v>1345</v>
      </c>
      <c r="P137" s="415">
        <v>1154</v>
      </c>
      <c r="Q137" s="415">
        <v>1199</v>
      </c>
      <c r="R137" s="415">
        <v>1247</v>
      </c>
      <c r="S137" s="415">
        <v>1374</v>
      </c>
      <c r="T137" s="275">
        <f>S137</f>
        <v>1374</v>
      </c>
      <c r="U137" s="415"/>
      <c r="V137" s="415"/>
      <c r="W137" s="415"/>
      <c r="X137" s="274">
        <f>X170</f>
        <v>1305.2869095615652</v>
      </c>
      <c r="Y137" s="275">
        <f>X137</f>
        <v>1305.2869095615652</v>
      </c>
      <c r="Z137" s="274">
        <f t="shared" ref="Z137:AC139" si="38">Z170</f>
        <v>1342.468872052</v>
      </c>
      <c r="AA137" s="274">
        <f t="shared" si="38"/>
        <v>1407.6591235914836</v>
      </c>
      <c r="AB137" s="274">
        <f t="shared" si="38"/>
        <v>1379.2511549586955</v>
      </c>
      <c r="AC137" s="274">
        <f t="shared" si="38"/>
        <v>1349.7246740368696</v>
      </c>
      <c r="AD137" s="275">
        <f>AC137</f>
        <v>1349.7246740368696</v>
      </c>
      <c r="AE137" s="275">
        <f t="shared" ref="AE137:AG139" si="39">AE170</f>
        <v>1401.1166467517003</v>
      </c>
      <c r="AF137" s="275">
        <f t="shared" si="39"/>
        <v>1464.4586084131292</v>
      </c>
      <c r="AG137" s="275">
        <f t="shared" si="39"/>
        <v>1534.8980675706073</v>
      </c>
      <c r="AH137" s="8"/>
      <c r="AI137" s="8"/>
      <c r="AJ137" s="8"/>
      <c r="AK137" s="8"/>
    </row>
    <row r="138" ht="13.5" customHeight="1" spans="1:37" x14ac:dyDescent="0.25">
      <c r="A138" s="257"/>
      <c r="B138" s="8"/>
      <c r="C138" s="8" t="s">
        <v>343</v>
      </c>
      <c r="D138" s="8"/>
      <c r="E138" s="8"/>
      <c r="F138" s="356">
        <v>212.2</v>
      </c>
      <c r="G138" s="356">
        <v>264.8</v>
      </c>
      <c r="H138" s="356">
        <v>97.9</v>
      </c>
      <c r="I138" s="356">
        <v>2.1</v>
      </c>
      <c r="J138" s="153">
        <f>I138</f>
        <v>2.1</v>
      </c>
      <c r="K138" s="356">
        <v>225.5</v>
      </c>
      <c r="L138" s="356">
        <v>41.8</v>
      </c>
      <c r="M138" s="356">
        <v>23.2</v>
      </c>
      <c r="N138" s="356">
        <v>339</v>
      </c>
      <c r="O138" s="153">
        <f>N138</f>
        <v>339</v>
      </c>
      <c r="P138" s="356">
        <v>252</v>
      </c>
      <c r="Q138" s="356">
        <v>298</v>
      </c>
      <c r="R138" s="356">
        <v>334</v>
      </c>
      <c r="S138" s="356">
        <v>313</v>
      </c>
      <c r="T138" s="153">
        <f>S138</f>
        <v>313</v>
      </c>
      <c r="U138" s="356"/>
      <c r="V138" s="356"/>
      <c r="W138" s="356"/>
      <c r="X138" s="274">
        <f>X171</f>
        <v>153.30178171872</v>
      </c>
      <c r="Y138" s="153">
        <f>X138</f>
        <v>153.30178171872</v>
      </c>
      <c r="Z138" s="274">
        <f t="shared" si="38"/>
        <v>139.61676269340802</v>
      </c>
      <c r="AA138" s="274">
        <f t="shared" si="38"/>
        <v>147.9057916252</v>
      </c>
      <c r="AB138" s="274">
        <f t="shared" si="38"/>
        <v>146.51344227519996</v>
      </c>
      <c r="AC138" s="274">
        <f t="shared" si="38"/>
        <v>144.87044834662402</v>
      </c>
      <c r="AD138" s="153">
        <f>AC138</f>
        <v>144.87044834662402</v>
      </c>
      <c r="AE138" s="275">
        <f t="shared" si="39"/>
        <v>150.73065399791977</v>
      </c>
      <c r="AF138" s="275">
        <f t="shared" si="39"/>
        <v>159.22092529768278</v>
      </c>
      <c r="AG138" s="275">
        <f t="shared" si="39"/>
        <v>166.87934309118728</v>
      </c>
      <c r="AH138" s="8"/>
      <c r="AI138" s="8"/>
      <c r="AJ138" s="8"/>
      <c r="AK138" s="8"/>
    </row>
    <row r="139" ht="13.5" customHeight="1" spans="1:37" x14ac:dyDescent="0.25">
      <c r="A139" s="257"/>
      <c r="B139" s="8"/>
      <c r="C139" s="8" t="s">
        <v>344</v>
      </c>
      <c r="D139" s="8"/>
      <c r="E139" s="8"/>
      <c r="F139" s="350">
        <v>467.1</v>
      </c>
      <c r="G139" s="350">
        <v>467.4</v>
      </c>
      <c r="H139" s="350">
        <v>484.8</v>
      </c>
      <c r="I139" s="350">
        <v>716.7</v>
      </c>
      <c r="J139" s="351">
        <f>I139</f>
        <v>716.7</v>
      </c>
      <c r="K139" s="350">
        <v>472.2</v>
      </c>
      <c r="L139" s="350">
        <v>472.5</v>
      </c>
      <c r="M139" s="350">
        <v>485.5</v>
      </c>
      <c r="N139" s="350">
        <v>729</v>
      </c>
      <c r="O139" s="351">
        <f>N139</f>
        <v>729</v>
      </c>
      <c r="P139" s="350">
        <v>504</v>
      </c>
      <c r="Q139" s="350">
        <v>490</v>
      </c>
      <c r="R139" s="350">
        <v>504</v>
      </c>
      <c r="S139" s="350">
        <v>721</v>
      </c>
      <c r="T139" s="351">
        <f>S139</f>
        <v>721</v>
      </c>
      <c r="U139" s="350"/>
      <c r="V139" s="350"/>
      <c r="W139" s="350"/>
      <c r="X139" s="353">
        <f>X172</f>
        <v>2810.5326648432</v>
      </c>
      <c r="Y139" s="351">
        <f>X139</f>
        <v>2810.5326648432</v>
      </c>
      <c r="Z139" s="353">
        <f t="shared" si="38"/>
        <v>2792.3352538681606</v>
      </c>
      <c r="AA139" s="353">
        <f t="shared" si="38"/>
        <v>2958.1158325040005</v>
      </c>
      <c r="AB139" s="353">
        <f t="shared" si="38"/>
        <v>2930.2688455039997</v>
      </c>
      <c r="AC139" s="353">
        <f t="shared" si="38"/>
        <v>2897.4089669324803</v>
      </c>
      <c r="AD139" s="351">
        <f>AC139</f>
        <v>2897.4089669324803</v>
      </c>
      <c r="AE139" s="351">
        <f t="shared" si="39"/>
        <v>3014.6130799583952</v>
      </c>
      <c r="AF139" s="351">
        <f t="shared" si="39"/>
        <v>3184.4185059536558</v>
      </c>
      <c r="AG139" s="351">
        <f t="shared" si="39"/>
        <v>3337.586861823746</v>
      </c>
      <c r="AH139" s="8"/>
      <c r="AI139" s="8"/>
      <c r="AJ139" s="8"/>
      <c r="AK139" s="8"/>
    </row>
    <row r="140" ht="13.5" customHeight="1" spans="1:37" x14ac:dyDescent="0.25">
      <c r="A140" s="257"/>
      <c r="B140" s="8"/>
      <c r="C140" s="130" t="s">
        <v>345</v>
      </c>
      <c r="D140" s="8"/>
      <c r="E140" s="8"/>
      <c r="F140" s="348">
        <f>SUM(F137:F139)</f>
        <v>1663.5</v>
      </c>
      <c r="G140" s="348">
        <f>SUM(G137:G139)</f>
        <v>1830.6</v>
      </c>
      <c r="H140" s="348">
        <f>SUM(H137:H139)</f>
        <v>1780.9</v>
      </c>
      <c r="I140" s="348">
        <f>SUM(I137:I139)</f>
        <v>2130.8</v>
      </c>
      <c r="J140" s="275">
        <f>I140</f>
        <v>2130.8</v>
      </c>
      <c r="K140" s="348">
        <f>SUM(K137:K139)</f>
        <v>1876.9</v>
      </c>
      <c r="L140" s="348">
        <f>SUM(L137:L139)</f>
        <v>1799.8</v>
      </c>
      <c r="M140" s="348">
        <f>SUM(M137:M139)</f>
        <v>1734.1000000000001</v>
      </c>
      <c r="N140" s="348">
        <f>SUM(N137:N139)</f>
        <v>2413</v>
      </c>
      <c r="O140" s="275">
        <f>N140</f>
        <v>2413</v>
      </c>
      <c r="P140" s="348">
        <f>SUM(P137:P139)</f>
        <v>1910</v>
      </c>
      <c r="Q140" s="348">
        <f>SUM(Q137:Q139)</f>
        <v>1987</v>
      </c>
      <c r="R140" s="348">
        <f>SUM(R137:R139)</f>
        <v>2085</v>
      </c>
      <c r="S140" s="348">
        <f>SUM(S137:S139)</f>
        <v>2408</v>
      </c>
      <c r="T140" s="275">
        <f>S140</f>
        <v>2408</v>
      </c>
      <c r="U140" s="348">
        <f>SUM(U137:U139)</f>
        <v>0</v>
      </c>
      <c r="V140" s="348">
        <f>SUM(V137:V139)</f>
        <v>0</v>
      </c>
      <c r="W140" s="348">
        <f>SUM(W137:W139)</f>
        <v>0</v>
      </c>
      <c r="X140" s="274">
        <f>SUM(X137:X139)</f>
        <v>4269.121356123485</v>
      </c>
      <c r="Y140" s="275">
        <f>X140</f>
        <v>4269.121356123485</v>
      </c>
      <c r="Z140" s="274">
        <f>SUM(Z137:Z139)</f>
        <v>4274.420888613568</v>
      </c>
      <c r="AA140" s="274">
        <f>SUM(AA137:AA139)</f>
        <v>4513.680747720684</v>
      </c>
      <c r="AB140" s="274">
        <f>SUM(AB137:AB139)</f>
        <v>4456.033442737895</v>
      </c>
      <c r="AC140" s="274">
        <f>SUM(AC137:AC139)</f>
        <v>4392.004089315974</v>
      </c>
      <c r="AD140" s="275">
        <f>AC140</f>
        <v>4392.004089315974</v>
      </c>
      <c r="AE140" s="275">
        <f>SUM(AE137:AE139)</f>
        <v>4566.460380708015</v>
      </c>
      <c r="AF140" s="275">
        <f>SUM(AF137:AF139)</f>
        <v>4808.098039664468</v>
      </c>
      <c r="AG140" s="275">
        <f>SUM(AG137:AG139)</f>
        <v>5039.364272485541</v>
      </c>
      <c r="AH140" s="8"/>
      <c r="AI140" s="8"/>
      <c r="AJ140" s="8"/>
      <c r="AK140" s="8"/>
    </row>
    <row r="141" ht="13.5" customHeight="1" spans="1:37" x14ac:dyDescent="0.25">
      <c r="A141" s="257"/>
      <c r="B141" s="8"/>
      <c r="C141" s="8"/>
      <c r="D141" s="8"/>
      <c r="E141" s="8"/>
      <c r="F141" s="401"/>
      <c r="G141" s="401"/>
      <c r="H141" s="401"/>
      <c r="I141" s="401"/>
      <c r="J141" s="8"/>
      <c r="K141" s="401"/>
      <c r="L141" s="401"/>
      <c r="M141" s="401"/>
      <c r="N141" s="401"/>
      <c r="O141" s="8"/>
      <c r="P141" s="401"/>
      <c r="Q141" s="401"/>
      <c r="R141" s="401"/>
      <c r="S141" s="401"/>
      <c r="T141" s="8"/>
      <c r="U141" s="401"/>
      <c r="V141" s="401"/>
      <c r="W141" s="401"/>
      <c r="X141" s="309"/>
      <c r="Y141" s="8"/>
      <c r="Z141" s="309"/>
      <c r="AA141" s="309"/>
      <c r="AB141" s="309"/>
      <c r="AC141" s="309"/>
      <c r="AD141" s="8"/>
      <c r="AE141" s="8"/>
      <c r="AF141" s="8"/>
      <c r="AG141" s="8"/>
      <c r="AH141" s="8"/>
      <c r="AI141" s="8"/>
      <c r="AJ141" s="8"/>
      <c r="AK141" s="8"/>
    </row>
    <row r="142" ht="13.5" customHeight="1" spans="1:37" x14ac:dyDescent="0.25">
      <c r="A142" s="257"/>
      <c r="B142" s="8"/>
      <c r="C142" s="8" t="s">
        <v>346</v>
      </c>
      <c r="D142" s="8"/>
      <c r="E142" s="8"/>
      <c r="F142" s="415"/>
      <c r="G142" s="415"/>
      <c r="H142" s="415"/>
      <c r="I142" s="415"/>
      <c r="J142" s="275">
        <f>I142</f>
        <v>0</v>
      </c>
      <c r="K142" s="415"/>
      <c r="L142" s="415"/>
      <c r="M142" s="415"/>
      <c r="N142" s="415"/>
      <c r="O142" s="275">
        <f>N142</f>
        <v>0</v>
      </c>
      <c r="P142" s="415"/>
      <c r="Q142" s="415"/>
      <c r="R142" s="415"/>
      <c r="S142" s="415"/>
      <c r="T142" s="275">
        <f>S142</f>
        <v>0</v>
      </c>
      <c r="U142" s="415"/>
      <c r="V142" s="415"/>
      <c r="W142" s="415"/>
      <c r="X142" s="274">
        <f>X307</f>
        <v>144.75856346091928</v>
      </c>
      <c r="Y142" s="275">
        <f>X142</f>
        <v>144.75856346091928</v>
      </c>
      <c r="Z142" s="274">
        <f>Z307</f>
        <v>3375.114643604813</v>
      </c>
      <c r="AA142" s="274">
        <f>AA307</f>
        <v>293.00155435436494</v>
      </c>
      <c r="AB142" s="274">
        <f>AB307</f>
        <v>973.4035943821218</v>
      </c>
      <c r="AC142" s="274">
        <f>AC307</f>
        <v>892.3402830960487</v>
      </c>
      <c r="AD142" s="275">
        <f>AC142</f>
        <v>892.3402830960487</v>
      </c>
      <c r="AE142" s="275">
        <f>AE307</f>
        <v>1086.0882231624637</v>
      </c>
      <c r="AF142" s="275">
        <f>AF307</f>
        <v>1691.765371935954</v>
      </c>
      <c r="AG142" s="275">
        <f>AG307</f>
        <v>2456.6646914939856</v>
      </c>
      <c r="AH142" s="8"/>
      <c r="AI142" s="8"/>
      <c r="AJ142" s="8"/>
      <c r="AK142" s="8"/>
    </row>
    <row r="143" ht="13.5" customHeight="1" spans="1:37" x14ac:dyDescent="0.25">
      <c r="A143" s="257"/>
      <c r="B143" s="8"/>
      <c r="C143" s="8" t="s">
        <v>347</v>
      </c>
      <c r="D143" s="8"/>
      <c r="E143" s="8"/>
      <c r="F143" s="356">
        <v>11924.9</v>
      </c>
      <c r="G143" s="356">
        <v>12113.2</v>
      </c>
      <c r="H143" s="356">
        <v>11925.1</v>
      </c>
      <c r="I143" s="356">
        <v>12819</v>
      </c>
      <c r="J143" s="153">
        <f>I143</f>
        <v>12819</v>
      </c>
      <c r="K143" s="356">
        <v>12832</v>
      </c>
      <c r="L143" s="356">
        <v>12959.7</v>
      </c>
      <c r="M143" s="356">
        <v>12560.4</v>
      </c>
      <c r="N143" s="356">
        <v>12713</v>
      </c>
      <c r="O143" s="153">
        <f>N143</f>
        <v>12713</v>
      </c>
      <c r="P143" s="356">
        <v>13283</v>
      </c>
      <c r="Q143" s="356">
        <v>12967</v>
      </c>
      <c r="R143" s="356">
        <v>13274</v>
      </c>
      <c r="S143" s="356">
        <v>13581</v>
      </c>
      <c r="T143" s="153">
        <f>S143</f>
        <v>13581</v>
      </c>
      <c r="U143" s="356"/>
      <c r="V143" s="356"/>
      <c r="W143" s="356"/>
      <c r="X143" s="358">
        <f>X313</f>
        <v>250</v>
      </c>
      <c r="Y143" s="153">
        <f>X143</f>
        <v>250</v>
      </c>
      <c r="Z143" s="358">
        <f>Z313</f>
        <v>250</v>
      </c>
      <c r="AA143" s="358">
        <f>AA313</f>
        <v>-350</v>
      </c>
      <c r="AB143" s="358">
        <f>AB313</f>
        <v>-950</v>
      </c>
      <c r="AC143" s="358">
        <f>AC313</f>
        <v>-1550</v>
      </c>
      <c r="AD143" s="153">
        <f>AC143</f>
        <v>-1550</v>
      </c>
      <c r="AE143" s="153">
        <f>AE313</f>
        <v>-1550</v>
      </c>
      <c r="AF143" s="153">
        <f>AF313</f>
        <v>-2150</v>
      </c>
      <c r="AG143" s="153">
        <f>AG313</f>
        <v>-2750</v>
      </c>
      <c r="AH143" s="8"/>
      <c r="AI143" s="8"/>
      <c r="AJ143" s="8"/>
      <c r="AK143" s="8"/>
    </row>
    <row r="144" ht="13.5" customHeight="1" spans="1:37" x14ac:dyDescent="0.25">
      <c r="A144" s="257"/>
      <c r="B144" s="8"/>
      <c r="C144" s="8" t="s">
        <v>348</v>
      </c>
      <c r="D144" s="8"/>
      <c r="E144" s="8"/>
      <c r="F144" s="356"/>
      <c r="G144" s="356"/>
      <c r="H144" s="356"/>
      <c r="I144" s="356"/>
      <c r="J144" s="153">
        <f>I144</f>
        <v>0</v>
      </c>
      <c r="K144" s="356"/>
      <c r="L144" s="356"/>
      <c r="M144" s="356"/>
      <c r="N144" s="356"/>
      <c r="O144" s="153">
        <f>N144</f>
        <v>0</v>
      </c>
      <c r="P144" s="356"/>
      <c r="Q144" s="356"/>
      <c r="R144" s="356"/>
      <c r="S144" s="356"/>
      <c r="T144" s="153">
        <f>S144</f>
        <v>0</v>
      </c>
      <c r="U144" s="356"/>
      <c r="V144" s="356"/>
      <c r="W144" s="356"/>
      <c r="X144" s="358">
        <f>X135-X140-X142-X143-X145-X157</f>
        <v>1532.400000000005</v>
      </c>
      <c r="Y144" s="153">
        <f>X144</f>
        <v>1532.400000000005</v>
      </c>
      <c r="Z144" s="358">
        <f t="shared" ref="Z144:AG144" si="40">Z135-Z140-Z142-Z143-Z145-Z157</f>
        <v>-1592.1111883313606</v>
      </c>
      <c r="AA144" s="358">
        <f t="shared" si="40"/>
        <v>1783.0034552734614</v>
      </c>
      <c r="AB144" s="358">
        <f t="shared" si="40"/>
        <v>1783.0034552734542</v>
      </c>
      <c r="AC144" s="358">
        <f t="shared" si="40"/>
        <v>2756.407049655576</v>
      </c>
      <c r="AD144" s="153">
        <f t="shared" si="40"/>
        <v>2756.407049655576</v>
      </c>
      <c r="AE144" s="153">
        <f t="shared" si="40"/>
        <v>2756.4070496555796</v>
      </c>
      <c r="AF144" s="153">
        <f t="shared" si="40"/>
        <v>2756.407049655574</v>
      </c>
      <c r="AG144" s="153">
        <f t="shared" si="40"/>
        <v>2756.407049655576</v>
      </c>
      <c r="AH144" s="8"/>
      <c r="AI144" s="8"/>
      <c r="AJ144" s="8"/>
      <c r="AK144" s="8"/>
    </row>
    <row r="145" ht="13.5" customHeight="1" spans="1:37" x14ac:dyDescent="0.25">
      <c r="A145" s="257"/>
      <c r="B145" s="8"/>
      <c r="C145" s="8" t="s">
        <v>349</v>
      </c>
      <c r="D145" s="8"/>
      <c r="E145" s="8"/>
      <c r="F145" s="350">
        <v>5575.700000000006</v>
      </c>
      <c r="G145" s="350">
        <v>5674.800000000004</v>
      </c>
      <c r="H145" s="350">
        <v>6004.400000000003</v>
      </c>
      <c r="I145" s="350">
        <v>5917.200000000001</v>
      </c>
      <c r="J145" s="351">
        <f>I145</f>
        <v>5917.200000000001</v>
      </c>
      <c r="K145" s="350">
        <v>5852.500000000002</v>
      </c>
      <c r="L145" s="350">
        <v>6168.199999999997</v>
      </c>
      <c r="M145" s="350">
        <v>6289.300000000003</v>
      </c>
      <c r="N145" s="350">
        <v>5869</v>
      </c>
      <c r="O145" s="351">
        <f>N145</f>
        <v>5869</v>
      </c>
      <c r="P145" s="350">
        <v>6245</v>
      </c>
      <c r="Q145" s="350">
        <v>6391</v>
      </c>
      <c r="R145" s="350">
        <v>6558</v>
      </c>
      <c r="S145" s="350">
        <v>6408</v>
      </c>
      <c r="T145" s="351">
        <f>S145</f>
        <v>6408</v>
      </c>
      <c r="U145" s="350"/>
      <c r="V145" s="350"/>
      <c r="W145" s="350"/>
      <c r="X145" s="353">
        <f>X227</f>
        <v>0</v>
      </c>
      <c r="Y145" s="351">
        <f>X145</f>
        <v>0</v>
      </c>
      <c r="Z145" s="353">
        <f>Z227</f>
        <v>0</v>
      </c>
      <c r="AA145" s="353">
        <f>AA227</f>
        <v>0</v>
      </c>
      <c r="AB145" s="353">
        <f>AB227</f>
        <v>0</v>
      </c>
      <c r="AC145" s="353">
        <f>AC227</f>
        <v>0</v>
      </c>
      <c r="AD145" s="351">
        <f>AC145</f>
        <v>0</v>
      </c>
      <c r="AE145" s="351">
        <f>AE227</f>
        <v>0</v>
      </c>
      <c r="AF145" s="351">
        <f>AF227</f>
        <v>0</v>
      </c>
      <c r="AG145" s="351">
        <f>AG227</f>
        <v>0</v>
      </c>
      <c r="AH145" s="8"/>
      <c r="AI145" s="8"/>
      <c r="AJ145" s="8"/>
      <c r="AK145" s="8"/>
    </row>
    <row r="146" ht="13.5" customHeight="1" spans="1:37" x14ac:dyDescent="0.25">
      <c r="A146" s="257"/>
      <c r="B146" s="8"/>
      <c r="C146" s="130" t="s">
        <v>350</v>
      </c>
      <c r="D146" s="8"/>
      <c r="E146" s="8"/>
      <c r="F146" s="348">
        <f>SUM(F142:F145)</f>
        <v>17500.600000000006</v>
      </c>
      <c r="G146" s="348">
        <f>SUM(G142:G145)</f>
        <v>17788.000000000004</v>
      </c>
      <c r="H146" s="420">
        <f>SUM(H142:H145)</f>
        <v>17929.500000000004</v>
      </c>
      <c r="I146" s="348">
        <f>SUM(I142:I145)</f>
        <v>18736.2</v>
      </c>
      <c r="J146" s="275">
        <f>I146</f>
        <v>18736.2</v>
      </c>
      <c r="K146" s="348">
        <f>SUM(K142:K145)</f>
        <v>18684.5</v>
      </c>
      <c r="L146" s="348">
        <f>SUM(L142:L145)</f>
        <v>19127.899999999998</v>
      </c>
      <c r="M146" s="420">
        <f>SUM(M142:M145)</f>
        <v>18849.700000000004</v>
      </c>
      <c r="N146" s="348">
        <f>SUM(N142:N145)</f>
        <v>18582</v>
      </c>
      <c r="O146" s="275">
        <f>N146</f>
        <v>18582</v>
      </c>
      <c r="P146" s="348">
        <f>SUM(P142:P145)</f>
        <v>19528</v>
      </c>
      <c r="Q146" s="348">
        <f>SUM(Q142:Q145)</f>
        <v>19358</v>
      </c>
      <c r="R146" s="348">
        <f>SUM(R142:R145)</f>
        <v>19832</v>
      </c>
      <c r="S146" s="348">
        <f>SUM(S142:S145)</f>
        <v>19989</v>
      </c>
      <c r="T146" s="275">
        <f>S146</f>
        <v>19989</v>
      </c>
      <c r="U146" s="348">
        <f>SUM(U142:U145)</f>
        <v>0</v>
      </c>
      <c r="V146" s="348">
        <f>SUM(V142:V145)</f>
        <v>0</v>
      </c>
      <c r="W146" s="348">
        <f>SUM(W142:W145)</f>
        <v>0</v>
      </c>
      <c r="X146" s="274">
        <f>SUM(X142:X145)</f>
        <v>17843.158563460922</v>
      </c>
      <c r="Y146" s="275">
        <f>X146</f>
        <v>17843.158563460922</v>
      </c>
      <c r="Z146" s="274">
        <f>SUM(Z142:Z145)</f>
        <v>17949.00345527345</v>
      </c>
      <c r="AA146" s="274">
        <f>SUM(AA142:AA145)</f>
        <v>17642.00500962783</v>
      </c>
      <c r="AB146" s="274">
        <f>SUM(AB142:AB145)</f>
        <v>17722.407049655576</v>
      </c>
      <c r="AC146" s="274">
        <f>SUM(AC142:AC145)</f>
        <v>18014.747332751627</v>
      </c>
      <c r="AD146" s="275">
        <f>AC146</f>
        <v>18014.747332751627</v>
      </c>
      <c r="AE146" s="275">
        <f>SUM(AE142:AE145)</f>
        <v>18208.495272818043</v>
      </c>
      <c r="AF146" s="275">
        <f>SUM(AF142:AF145)</f>
        <v>18214.172421591527</v>
      </c>
      <c r="AG146" s="275">
        <f>SUM(AG142:AG145)</f>
        <v>18379.07174114956</v>
      </c>
      <c r="AH146" s="8"/>
      <c r="AI146" s="8"/>
      <c r="AJ146" s="8"/>
      <c r="AK146" s="8"/>
    </row>
    <row r="147" ht="13.5" customHeight="1" spans="1:37" x14ac:dyDescent="0.25">
      <c r="A147" s="257"/>
      <c r="B147" s="8"/>
      <c r="C147" s="8"/>
      <c r="D147" s="8"/>
      <c r="E147" s="8"/>
      <c r="F147" s="308"/>
      <c r="G147" s="308"/>
      <c r="H147" s="308"/>
      <c r="I147" s="308"/>
      <c r="J147" s="8"/>
      <c r="K147" s="308"/>
      <c r="L147" s="308"/>
      <c r="M147" s="308"/>
      <c r="N147" s="308"/>
      <c r="O147" s="8"/>
      <c r="P147" s="308"/>
      <c r="Q147" s="308"/>
      <c r="R147" s="308"/>
      <c r="S147" s="308"/>
      <c r="T147" s="8"/>
      <c r="U147" s="308"/>
      <c r="V147" s="308"/>
      <c r="W147" s="308"/>
      <c r="X147" s="309"/>
      <c r="Y147" s="8"/>
      <c r="Z147" s="309"/>
      <c r="AA147" s="309"/>
      <c r="AB147" s="309"/>
      <c r="AC147" s="309"/>
      <c r="AD147" s="8"/>
      <c r="AE147" s="8"/>
      <c r="AF147" s="8"/>
      <c r="AG147" s="8"/>
      <c r="AH147" s="8"/>
      <c r="AI147" s="8"/>
      <c r="AJ147" s="8"/>
      <c r="AK147" s="8"/>
    </row>
    <row r="148" ht="13.5" customHeight="1" spans="1:37" x14ac:dyDescent="0.25">
      <c r="A148" s="257"/>
      <c r="B148" s="8"/>
      <c r="C148" s="130" t="s">
        <v>351</v>
      </c>
      <c r="D148" s="8"/>
      <c r="E148" s="8"/>
      <c r="F148" s="348">
        <f>SUM(F140,F146)</f>
        <v>19164.100000000006</v>
      </c>
      <c r="G148" s="348">
        <f>SUM(G140,G146)</f>
        <v>19618.600000000002</v>
      </c>
      <c r="H148" s="348">
        <f>SUM(H140,H146)</f>
        <v>19710.400000000005</v>
      </c>
      <c r="I148" s="348">
        <f>SUM(I140,I146)</f>
        <v>20867</v>
      </c>
      <c r="J148" s="275">
        <f>SUM(J140,J146)</f>
        <v>20867</v>
      </c>
      <c r="K148" s="348">
        <f t="shared" ref="K148:AG148" si="41">SUM(K140,K146)</f>
        <v>20561.4</v>
      </c>
      <c r="L148" s="348">
        <f t="shared" si="41"/>
        <v>20927.699999999997</v>
      </c>
      <c r="M148" s="348">
        <f t="shared" si="41"/>
        <v>20583.800000000003</v>
      </c>
      <c r="N148" s="348">
        <f t="shared" si="41"/>
        <v>20995</v>
      </c>
      <c r="O148" s="275">
        <f t="shared" si="41"/>
        <v>20995</v>
      </c>
      <c r="P148" s="348">
        <f t="shared" si="41"/>
        <v>21438</v>
      </c>
      <c r="Q148" s="348">
        <f t="shared" si="41"/>
        <v>21345</v>
      </c>
      <c r="R148" s="348">
        <f t="shared" si="41"/>
        <v>21917</v>
      </c>
      <c r="S148" s="348">
        <f t="shared" si="41"/>
        <v>22397</v>
      </c>
      <c r="T148" s="275">
        <f t="shared" si="41"/>
        <v>22397</v>
      </c>
      <c r="U148" s="348">
        <f t="shared" si="41"/>
        <v>0</v>
      </c>
      <c r="V148" s="348">
        <f t="shared" si="41"/>
        <v>0</v>
      </c>
      <c r="W148" s="348">
        <f>SUM(W140,W146)</f>
        <v>0</v>
      </c>
      <c r="X148" s="274">
        <f>SUM(X140,X146)</f>
        <v>22112.279919584405</v>
      </c>
      <c r="Y148" s="275">
        <f t="shared" si="41"/>
        <v>22112.279919584405</v>
      </c>
      <c r="Z148" s="274">
        <f t="shared" si="41"/>
        <v>22223.424343887018</v>
      </c>
      <c r="AA148" s="274">
        <f t="shared" si="41"/>
        <v>22155.68575734851</v>
      </c>
      <c r="AB148" s="274">
        <f t="shared" si="41"/>
        <v>22178.44049239347</v>
      </c>
      <c r="AC148" s="274">
        <f t="shared" si="41"/>
        <v>22406.751422067602</v>
      </c>
      <c r="AD148" s="275">
        <f t="shared" si="41"/>
        <v>22406.751422067602</v>
      </c>
      <c r="AE148" s="275">
        <f t="shared" si="41"/>
        <v>22774.955653526056</v>
      </c>
      <c r="AF148" s="275">
        <f t="shared" si="41"/>
        <v>23022.270461255997</v>
      </c>
      <c r="AG148" s="275">
        <f t="shared" si="41"/>
        <v>23418.436013635102</v>
      </c>
      <c r="AH148" s="8"/>
      <c r="AI148" s="8"/>
      <c r="AJ148" s="8"/>
      <c r="AK148" s="8"/>
    </row>
    <row r="149" ht="13.5" customHeight="1" spans="1:37" x14ac:dyDescent="0.25">
      <c r="A149" s="257"/>
      <c r="B149" s="8"/>
      <c r="C149" s="8"/>
      <c r="D149" s="8"/>
      <c r="E149" s="8"/>
      <c r="F149" s="348"/>
      <c r="G149" s="348"/>
      <c r="H149" s="348"/>
      <c r="I149" s="348"/>
      <c r="J149" s="8"/>
      <c r="K149" s="348"/>
      <c r="L149" s="348"/>
      <c r="M149" s="348"/>
      <c r="N149" s="348"/>
      <c r="O149" s="8"/>
      <c r="P149" s="348"/>
      <c r="Q149" s="348"/>
      <c r="R149" s="348"/>
      <c r="S149" s="348"/>
      <c r="T149" s="8"/>
      <c r="U149" s="348"/>
      <c r="V149" s="348"/>
      <c r="W149" s="348"/>
      <c r="X149" s="309"/>
      <c r="Y149" s="8"/>
      <c r="Z149" s="309"/>
      <c r="AA149" s="309"/>
      <c r="AB149" s="309"/>
      <c r="AC149" s="309"/>
      <c r="AD149" s="8"/>
      <c r="AE149" s="8"/>
      <c r="AF149" s="8"/>
      <c r="AG149" s="8"/>
      <c r="AH149" s="8"/>
      <c r="AI149" s="8"/>
      <c r="AJ149" s="8"/>
      <c r="AK149" s="8"/>
    </row>
    <row r="150" ht="13.5" customHeight="1" spans="1:37" x14ac:dyDescent="0.25">
      <c r="A150" s="257"/>
      <c r="B150" s="8"/>
      <c r="C150" s="8" t="s">
        <v>352</v>
      </c>
      <c r="D150" s="8"/>
      <c r="E150" s="8"/>
      <c r="F150" s="415">
        <v>2343.1</v>
      </c>
      <c r="G150" s="415">
        <v>2357.7</v>
      </c>
      <c r="H150" s="415">
        <v>2170.3</v>
      </c>
      <c r="I150" s="415">
        <v>2120</v>
      </c>
      <c r="J150" s="275">
        <f>I150</f>
        <v>2120</v>
      </c>
      <c r="K150" s="415">
        <v>2107.2</v>
      </c>
      <c r="L150" s="415">
        <v>1953.5</v>
      </c>
      <c r="M150" s="415">
        <v>1803.5</v>
      </c>
      <c r="N150" s="415">
        <v>1657</v>
      </c>
      <c r="O150" s="275">
        <f>N150</f>
        <v>1657</v>
      </c>
      <c r="P150" s="415">
        <v>1607</v>
      </c>
      <c r="Q150" s="415">
        <v>1623</v>
      </c>
      <c r="R150" s="415">
        <v>1092</v>
      </c>
      <c r="S150" s="415">
        <v>836</v>
      </c>
      <c r="T150" s="275">
        <f>S150</f>
        <v>836</v>
      </c>
      <c r="U150" s="415"/>
      <c r="V150" s="415"/>
      <c r="W150" s="415"/>
      <c r="X150" s="274">
        <f>X250</f>
        <v>0</v>
      </c>
      <c r="Y150" s="275">
        <f>X150</f>
        <v>0</v>
      </c>
      <c r="Z150" s="274">
        <f>Z250</f>
        <v>0</v>
      </c>
      <c r="AA150" s="274">
        <f>AA250</f>
        <v>0</v>
      </c>
      <c r="AB150" s="274">
        <f>AB250</f>
        <v>0</v>
      </c>
      <c r="AC150" s="274">
        <f>AC250</f>
        <v>0</v>
      </c>
      <c r="AD150" s="275">
        <f>AC150</f>
        <v>0</v>
      </c>
      <c r="AE150" s="275">
        <f>AE250</f>
        <v>0</v>
      </c>
      <c r="AF150" s="275">
        <f>AF250</f>
        <v>0</v>
      </c>
      <c r="AG150" s="275">
        <f>AG250</f>
        <v>0</v>
      </c>
      <c r="AH150" s="8"/>
      <c r="AI150" s="8"/>
      <c r="AJ150" s="8"/>
      <c r="AK150" s="8"/>
    </row>
    <row r="151" ht="13.5" customHeight="1" spans="1:37" x14ac:dyDescent="0.25">
      <c r="A151" s="257"/>
      <c r="B151" s="8"/>
      <c r="C151" s="8" t="s">
        <v>353</v>
      </c>
      <c r="D151" s="8"/>
      <c r="E151" s="8"/>
      <c r="F151" s="356">
        <v>7582.7</v>
      </c>
      <c r="G151" s="356">
        <v>7852.7</v>
      </c>
      <c r="H151" s="356">
        <v>8163.5</v>
      </c>
      <c r="I151" s="356">
        <v>8434</v>
      </c>
      <c r="J151" s="153">
        <f>I151</f>
        <v>8434</v>
      </c>
      <c r="K151" s="356">
        <v>8717.9</v>
      </c>
      <c r="L151" s="356">
        <v>9060.7</v>
      </c>
      <c r="M151" s="356">
        <v>9443.9</v>
      </c>
      <c r="N151" s="356">
        <v>9774</v>
      </c>
      <c r="O151" s="153">
        <f>N151</f>
        <v>9774</v>
      </c>
      <c r="P151" s="356">
        <v>10087</v>
      </c>
      <c r="Q151" s="356">
        <v>10455</v>
      </c>
      <c r="R151" s="356">
        <v>10810</v>
      </c>
      <c r="S151" s="356">
        <v>11161</v>
      </c>
      <c r="T151" s="153">
        <f>S151</f>
        <v>11161</v>
      </c>
      <c r="U151" s="356"/>
      <c r="V151" s="356"/>
      <c r="W151" s="356"/>
      <c r="X151" s="358">
        <f>X259</f>
        <v>10689.851926340603</v>
      </c>
      <c r="Y151" s="153">
        <f>X151</f>
        <v>10689.851926340603</v>
      </c>
      <c r="Z151" s="358">
        <f>Z259</f>
        <v>11058.863651672915</v>
      </c>
      <c r="AA151" s="358">
        <f>AA259</f>
        <v>11298.256362259934</v>
      </c>
      <c r="AB151" s="358">
        <f>AB259</f>
        <v>11347.836911538567</v>
      </c>
      <c r="AC151" s="358">
        <f>AC259</f>
        <v>11220.583903307761</v>
      </c>
      <c r="AD151" s="153">
        <f>AC151</f>
        <v>11220.583903307761</v>
      </c>
      <c r="AE151" s="153">
        <f>AE259</f>
        <v>11877.461196958719</v>
      </c>
      <c r="AF151" s="153">
        <f>AF259</f>
        <v>12435.566085232937</v>
      </c>
      <c r="AG151" s="153">
        <f>AG259</f>
        <v>12945.801741276695</v>
      </c>
      <c r="AH151" s="8"/>
      <c r="AI151" s="8"/>
      <c r="AJ151" s="8"/>
      <c r="AK151" s="8"/>
    </row>
    <row r="152" ht="13.5" customHeight="1" spans="1:37" x14ac:dyDescent="0.25">
      <c r="A152" s="257"/>
      <c r="B152" s="8"/>
      <c r="C152" s="8" t="s">
        <v>354</v>
      </c>
      <c r="D152" s="8"/>
      <c r="E152" s="8"/>
      <c r="F152" s="356">
        <v>0</v>
      </c>
      <c r="G152" s="356">
        <v>0</v>
      </c>
      <c r="H152" s="356">
        <v>0</v>
      </c>
      <c r="I152" s="356">
        <v>0</v>
      </c>
      <c r="J152" s="153">
        <f>I152</f>
        <v>0</v>
      </c>
      <c r="K152" s="356">
        <v>0</v>
      </c>
      <c r="L152" s="356">
        <v>0</v>
      </c>
      <c r="M152" s="356">
        <v>0</v>
      </c>
      <c r="N152" s="356">
        <v>0</v>
      </c>
      <c r="O152" s="153">
        <f>N152</f>
        <v>0</v>
      </c>
      <c r="P152" s="356">
        <v>0</v>
      </c>
      <c r="Q152" s="356">
        <v>0</v>
      </c>
      <c r="R152" s="356">
        <v>0</v>
      </c>
      <c r="S152" s="356">
        <v>0</v>
      </c>
      <c r="T152" s="153">
        <f>S152</f>
        <v>0</v>
      </c>
      <c r="U152" s="356"/>
      <c r="V152" s="356"/>
      <c r="W152" s="356"/>
      <c r="X152" s="358">
        <f>-X244+W152</f>
        <v>0</v>
      </c>
      <c r="Y152" s="153">
        <f>X152</f>
        <v>0</v>
      </c>
      <c r="Z152" s="358">
        <f>-Z244+Y152</f>
        <v>-550</v>
      </c>
      <c r="AA152" s="358">
        <f>-AA244+Z152</f>
        <v>-550</v>
      </c>
      <c r="AB152" s="358">
        <f>-AB244+AA152</f>
        <v>-550</v>
      </c>
      <c r="AC152" s="358">
        <f>-AC244+AB152</f>
        <v>-550</v>
      </c>
      <c r="AD152" s="153">
        <f>AC152</f>
        <v>-550</v>
      </c>
      <c r="AE152" s="153">
        <f>-AE244+AD152</f>
        <v>-1150</v>
      </c>
      <c r="AF152" s="153">
        <f>-AF244+AE152</f>
        <v>-1800</v>
      </c>
      <c r="AG152" s="153">
        <f>-AG244+AF152</f>
        <v>-2500</v>
      </c>
      <c r="AH152" s="8"/>
      <c r="AI152" s="8"/>
      <c r="AJ152" s="8"/>
      <c r="AK152" s="8"/>
    </row>
    <row r="153" ht="13.5" customHeight="1" spans="1:37" x14ac:dyDescent="0.25">
      <c r="A153" s="257"/>
      <c r="B153" s="8"/>
      <c r="C153" s="8" t="s">
        <v>355</v>
      </c>
      <c r="D153" s="8"/>
      <c r="E153" s="8"/>
      <c r="F153" s="350">
        <v>-9.3</v>
      </c>
      <c r="G153" s="350">
        <v>-6.7</v>
      </c>
      <c r="H153" s="350">
        <v>-2.5</v>
      </c>
      <c r="I153" s="350">
        <v>-12</v>
      </c>
      <c r="J153" s="351">
        <f>I153</f>
        <v>-12</v>
      </c>
      <c r="K153" s="350">
        <v>-5.3</v>
      </c>
      <c r="L153" s="350">
        <v>-9.1</v>
      </c>
      <c r="M153" s="350">
        <v>-18.6</v>
      </c>
      <c r="N153" s="350">
        <v>-26</v>
      </c>
      <c r="O153" s="351">
        <f>N153</f>
        <v>-26</v>
      </c>
      <c r="P153" s="350">
        <v>-31</v>
      </c>
      <c r="Q153" s="350">
        <v>-28</v>
      </c>
      <c r="R153" s="350">
        <v>-31</v>
      </c>
      <c r="S153" s="350">
        <v>-29</v>
      </c>
      <c r="T153" s="351">
        <f>S153</f>
        <v>-29</v>
      </c>
      <c r="U153" s="350"/>
      <c r="V153" s="350"/>
      <c r="W153" s="350"/>
      <c r="X153" s="353">
        <f>X264</f>
        <v>0</v>
      </c>
      <c r="Y153" s="351">
        <f>X153</f>
        <v>0</v>
      </c>
      <c r="Z153" s="353">
        <f>Z264</f>
        <v>0</v>
      </c>
      <c r="AA153" s="353">
        <f>AA264</f>
        <v>0</v>
      </c>
      <c r="AB153" s="353">
        <f>AB264</f>
        <v>0</v>
      </c>
      <c r="AC153" s="353">
        <f>AC264</f>
        <v>0</v>
      </c>
      <c r="AD153" s="351">
        <f>AC153</f>
        <v>0</v>
      </c>
      <c r="AE153" s="351">
        <f>AE264</f>
        <v>0</v>
      </c>
      <c r="AF153" s="351">
        <f>AF264</f>
        <v>0</v>
      </c>
      <c r="AG153" s="351">
        <f>AG264</f>
        <v>0</v>
      </c>
      <c r="AH153" s="8"/>
      <c r="AI153" s="8"/>
      <c r="AJ153" s="8"/>
      <c r="AK153" s="8"/>
    </row>
    <row r="154" ht="13.5" customHeight="1" spans="1:37" x14ac:dyDescent="0.25">
      <c r="A154" s="257"/>
      <c r="B154" s="8"/>
      <c r="C154" s="130" t="s">
        <v>356</v>
      </c>
      <c r="D154" s="8"/>
      <c r="E154" s="8"/>
      <c r="F154" s="348">
        <f>SUM(F150:F153)</f>
        <v>9916.5</v>
      </c>
      <c r="G154" s="348">
        <f>SUM(G150:G153)</f>
        <v>10203.699999999999</v>
      </c>
      <c r="H154" s="348">
        <f>SUM(H150:H153)</f>
        <v>10331.3</v>
      </c>
      <c r="I154" s="348">
        <f>SUM(I150:I153)</f>
        <v>10542</v>
      </c>
      <c r="J154" s="275">
        <f>I154</f>
        <v>10542</v>
      </c>
      <c r="K154" s="348">
        <f>SUM(K150:K153)</f>
        <v>10819.8</v>
      </c>
      <c r="L154" s="348">
        <f>SUM(L150:L153)</f>
        <v>11005.1</v>
      </c>
      <c r="M154" s="348">
        <f>SUM(M150:M153)</f>
        <v>11228.8</v>
      </c>
      <c r="N154" s="348">
        <f>SUM(N150:N153)</f>
        <v>11405</v>
      </c>
      <c r="O154" s="275">
        <f>N154</f>
        <v>11405</v>
      </c>
      <c r="P154" s="348">
        <f>SUM(P150:P153)</f>
        <v>11663</v>
      </c>
      <c r="Q154" s="348">
        <f>SUM(Q150:Q153)</f>
        <v>12050</v>
      </c>
      <c r="R154" s="348">
        <f>SUM(R150:R153)</f>
        <v>11871</v>
      </c>
      <c r="S154" s="348">
        <f>SUM(S150:S153)</f>
        <v>11968</v>
      </c>
      <c r="T154" s="275">
        <f>S154</f>
        <v>11968</v>
      </c>
      <c r="U154" s="348">
        <f>SUM(U150:U153)</f>
        <v>0</v>
      </c>
      <c r="V154" s="348">
        <f>SUM(V150:V153)</f>
        <v>0</v>
      </c>
      <c r="W154" s="348">
        <f>SUM(W150:W153)</f>
        <v>0</v>
      </c>
      <c r="X154" s="274">
        <f>SUM(X150:X153)</f>
        <v>11784.439733200441</v>
      </c>
      <c r="Y154" s="275">
        <f>X154</f>
        <v>11784.439733200441</v>
      </c>
      <c r="Z154" s="274">
        <f>SUM(Z150:Z153)</f>
        <v>11636.455086780148</v>
      </c>
      <c r="AA154" s="274">
        <f>SUM(AA150:AA153)</f>
        <v>11910.628430795387</v>
      </c>
      <c r="AB154" s="274">
        <f>SUM(AB150:AB153)</f>
        <v>11994.842895721493</v>
      </c>
      <c r="AC154" s="274">
        <f>SUM(AC150:AC153)</f>
        <v>11901.835420255007</v>
      </c>
      <c r="AD154" s="275">
        <f>AC154</f>
        <v>11901.835420255007</v>
      </c>
      <c r="AE154" s="275">
        <f>SUM(AE150:AE153)</f>
        <v>12101.987398158642</v>
      </c>
      <c r="AF154" s="275">
        <f>SUM(AF150:AF153)</f>
        <v>12160.643498947948</v>
      </c>
      <c r="AG154" s="275">
        <f>SUM(AG150:AG153)</f>
        <v>12128.671778034986</v>
      </c>
      <c r="AH154" s="8"/>
      <c r="AI154" s="8"/>
      <c r="AJ154" s="8"/>
      <c r="AK154" s="8"/>
    </row>
    <row r="155" ht="13.5" customHeight="1" spans="1:37" x14ac:dyDescent="0.25">
      <c r="A155" s="257"/>
      <c r="B155" s="8"/>
      <c r="C155" s="8"/>
      <c r="D155" s="8"/>
      <c r="E155" s="8"/>
      <c r="F155" s="308"/>
      <c r="G155" s="308"/>
      <c r="H155" s="308"/>
      <c r="I155" s="308"/>
      <c r="J155" s="8"/>
      <c r="K155" s="308"/>
      <c r="L155" s="308"/>
      <c r="M155" s="308"/>
      <c r="N155" s="308"/>
      <c r="O155" s="8"/>
      <c r="P155" s="308"/>
      <c r="Q155" s="308"/>
      <c r="R155" s="308"/>
      <c r="S155" s="308"/>
      <c r="T155" s="8"/>
      <c r="U155" s="308"/>
      <c r="V155" s="308"/>
      <c r="W155" s="308"/>
      <c r="X155" s="309"/>
      <c r="Y155" s="8"/>
      <c r="Z155" s="309"/>
      <c r="AA155" s="309"/>
      <c r="AB155" s="309"/>
      <c r="AC155" s="309"/>
      <c r="AD155" s="8"/>
      <c r="AE155" s="8"/>
      <c r="AF155" s="8"/>
      <c r="AG155" s="8"/>
      <c r="AH155" s="8"/>
      <c r="AI155" s="8"/>
      <c r="AJ155" s="8"/>
      <c r="AK155" s="8"/>
    </row>
    <row r="156" ht="13.5" customHeight="1" spans="1:37" x14ac:dyDescent="0.25">
      <c r="A156" s="257"/>
      <c r="B156" s="8"/>
      <c r="C156" s="8" t="s">
        <v>357</v>
      </c>
      <c r="D156" s="8"/>
      <c r="E156" s="8"/>
      <c r="F156" s="350">
        <v>0.8</v>
      </c>
      <c r="G156" s="350">
        <v>1</v>
      </c>
      <c r="H156" s="350">
        <v>1.1</v>
      </c>
      <c r="I156" s="350">
        <v>1</v>
      </c>
      <c r="J156" s="351">
        <f>I156</f>
        <v>1</v>
      </c>
      <c r="K156" s="350">
        <v>0.8</v>
      </c>
      <c r="L156" s="350">
        <v>1.2</v>
      </c>
      <c r="M156" s="350">
        <v>1.4</v>
      </c>
      <c r="N156" s="350">
        <v>2</v>
      </c>
      <c r="O156" s="351">
        <f>N156</f>
        <v>2</v>
      </c>
      <c r="P156" s="350">
        <v>2</v>
      </c>
      <c r="Q156" s="350">
        <v>2</v>
      </c>
      <c r="R156" s="350">
        <v>1</v>
      </c>
      <c r="S156" s="350">
        <v>1</v>
      </c>
      <c r="T156" s="351">
        <f>S156</f>
        <v>1</v>
      </c>
      <c r="U156" s="350"/>
      <c r="V156" s="350"/>
      <c r="W156" s="350"/>
      <c r="X156" s="353">
        <f>W156+Drivers!X106</f>
        <v>0</v>
      </c>
      <c r="Y156" s="351">
        <f>X156</f>
        <v>0</v>
      </c>
      <c r="Z156" s="353">
        <f>Y156+Drivers!Z106</f>
        <v>0</v>
      </c>
      <c r="AA156" s="353">
        <f>Z156+Drivers!AA106</f>
        <v>0</v>
      </c>
      <c r="AB156" s="353">
        <f>AA156+Drivers!AB106</f>
        <v>0</v>
      </c>
      <c r="AC156" s="353">
        <f>AB156+Drivers!AC106</f>
        <v>0</v>
      </c>
      <c r="AD156" s="351">
        <f>AC156</f>
        <v>0</v>
      </c>
      <c r="AE156" s="351">
        <f>AD156+Drivers!AE106</f>
        <v>0</v>
      </c>
      <c r="AF156" s="351">
        <f>AE156+Drivers!AF106</f>
        <v>0</v>
      </c>
      <c r="AG156" s="351">
        <f>AF156+Drivers!AG106</f>
        <v>0</v>
      </c>
      <c r="AH156" s="8"/>
      <c r="AI156" s="8"/>
      <c r="AJ156" s="8"/>
      <c r="AK156" s="8"/>
    </row>
    <row r="157" ht="13.5" customHeight="1" spans="1:37" x14ac:dyDescent="0.25">
      <c r="A157" s="257"/>
      <c r="B157" s="8"/>
      <c r="C157" s="130" t="s">
        <v>358</v>
      </c>
      <c r="D157" s="8"/>
      <c r="E157" s="8"/>
      <c r="F157" s="348">
        <f>SUM(F154:F156)</f>
        <v>9917.3</v>
      </c>
      <c r="G157" s="348">
        <f>SUM(G154:G156)</f>
        <v>10204.699999999999</v>
      </c>
      <c r="H157" s="348">
        <f>SUM(H154:H156)</f>
        <v>10332.4</v>
      </c>
      <c r="I157" s="348">
        <f>SUM(I154:I156)</f>
        <v>10543</v>
      </c>
      <c r="J157" s="275">
        <f>I157</f>
        <v>10543</v>
      </c>
      <c r="K157" s="348">
        <f>SUM(K154:K156)</f>
        <v>10820.599999999999</v>
      </c>
      <c r="L157" s="348">
        <f>SUM(L154:L156)</f>
        <v>11006.300000000001</v>
      </c>
      <c r="M157" s="348">
        <f>SUM(M154:M156)</f>
        <v>11230.199999999999</v>
      </c>
      <c r="N157" s="348">
        <f>SUM(N154:N156)</f>
        <v>11407</v>
      </c>
      <c r="O157" s="275">
        <f>N157</f>
        <v>11407</v>
      </c>
      <c r="P157" s="348">
        <f>SUM(P154:P156)</f>
        <v>11665</v>
      </c>
      <c r="Q157" s="348">
        <f>SUM(Q154:Q156)</f>
        <v>12052</v>
      </c>
      <c r="R157" s="348">
        <f>SUM(R154:R156)</f>
        <v>11872</v>
      </c>
      <c r="S157" s="348">
        <f>SUM(S154:S156)</f>
        <v>11969</v>
      </c>
      <c r="T157" s="275">
        <f>S157</f>
        <v>11969</v>
      </c>
      <c r="U157" s="348">
        <f>SUM(U154:U156)</f>
        <v>0</v>
      </c>
      <c r="V157" s="348">
        <f>SUM(V154:V156)</f>
        <v>0</v>
      </c>
      <c r="W157" s="348">
        <f>SUM(W154:W156)</f>
        <v>0</v>
      </c>
      <c r="X157" s="274">
        <f>SUM(X154:X156)</f>
        <v>11785.439733200441</v>
      </c>
      <c r="Y157" s="275">
        <f>X157</f>
        <v>11785.439733200441</v>
      </c>
      <c r="Z157" s="274">
        <f>SUM(Z154:Z156)</f>
        <v>11637.455086780148</v>
      </c>
      <c r="AA157" s="274">
        <f>SUM(AA154:AA156)</f>
        <v>11911.628430795387</v>
      </c>
      <c r="AB157" s="274">
        <f>SUM(AB154:AB156)</f>
        <v>11995.842895721493</v>
      </c>
      <c r="AC157" s="274">
        <f>SUM(AC154:AC156)</f>
        <v>11902.835420255007</v>
      </c>
      <c r="AD157" s="275">
        <f>AC157</f>
        <v>11902.835420255007</v>
      </c>
      <c r="AE157" s="275">
        <f>SUM(AE154:AE156)</f>
        <v>12102.987398158642</v>
      </c>
      <c r="AF157" s="275">
        <f>SUM(AF154:AF156)</f>
        <v>12161.643498947948</v>
      </c>
      <c r="AG157" s="275">
        <f>SUM(AG154:AG156)</f>
        <v>12129.671778034986</v>
      </c>
      <c r="AH157" s="8"/>
      <c r="AI157" s="8"/>
      <c r="AJ157" s="8"/>
      <c r="AK157" s="8"/>
    </row>
    <row r="158" ht="13.5" customHeight="1" spans="1:37" x14ac:dyDescent="0.25">
      <c r="A158" s="257"/>
      <c r="B158" s="8"/>
      <c r="C158" s="130"/>
      <c r="D158" s="8"/>
      <c r="E158" s="8"/>
      <c r="F158" s="308"/>
      <c r="G158" s="308"/>
      <c r="H158" s="308"/>
      <c r="I158" s="308"/>
      <c r="J158" s="8"/>
      <c r="K158" s="308"/>
      <c r="L158" s="308"/>
      <c r="M158" s="308"/>
      <c r="N158" s="308"/>
      <c r="O158" s="8"/>
      <c r="P158" s="308"/>
      <c r="Q158" s="308"/>
      <c r="R158" s="308"/>
      <c r="S158" s="308"/>
      <c r="T158" s="8"/>
      <c r="U158" s="308"/>
      <c r="V158" s="308"/>
      <c r="W158" s="308"/>
      <c r="X158" s="309"/>
      <c r="Y158" s="8"/>
      <c r="Z158" s="309"/>
      <c r="AA158" s="309"/>
      <c r="AB158" s="309"/>
      <c r="AC158" s="309"/>
      <c r="AD158" s="8"/>
      <c r="AE158" s="8"/>
      <c r="AF158" s="8"/>
      <c r="AG158" s="8"/>
      <c r="AH158" s="8"/>
      <c r="AI158" s="8"/>
      <c r="AJ158" s="8"/>
      <c r="AK158" s="8"/>
    </row>
    <row r="159" ht="13.5" customHeight="1" spans="1:37" x14ac:dyDescent="0.25">
      <c r="A159" s="257"/>
      <c r="B159" s="8"/>
      <c r="C159" s="130" t="s">
        <v>359</v>
      </c>
      <c r="D159" s="8"/>
      <c r="E159" s="8"/>
      <c r="F159" s="348">
        <f>SUM(F148,F157)</f>
        <v>29081.400000000005</v>
      </c>
      <c r="G159" s="348">
        <f>SUM(G148,G157)</f>
        <v>29823.300000000003</v>
      </c>
      <c r="H159" s="348">
        <f>SUM(H148,H157)</f>
        <v>30042.800000000003</v>
      </c>
      <c r="I159" s="348">
        <f>SUM(I148,I157)</f>
        <v>31410</v>
      </c>
      <c r="J159" s="275">
        <f>SUM(J148,J157)</f>
        <v>31410</v>
      </c>
      <c r="K159" s="348">
        <f t="shared" ref="K159:AF159" si="42">SUM(K148,K157)</f>
        <v>31382</v>
      </c>
      <c r="L159" s="348">
        <f t="shared" si="42"/>
        <v>31934</v>
      </c>
      <c r="M159" s="348">
        <f t="shared" si="42"/>
        <v>31814</v>
      </c>
      <c r="N159" s="348">
        <f t="shared" si="42"/>
        <v>32402</v>
      </c>
      <c r="O159" s="275">
        <f t="shared" si="42"/>
        <v>32402</v>
      </c>
      <c r="P159" s="348">
        <f t="shared" si="42"/>
        <v>33103</v>
      </c>
      <c r="Q159" s="348">
        <f t="shared" si="42"/>
        <v>33397</v>
      </c>
      <c r="R159" s="348">
        <f t="shared" si="42"/>
        <v>33789</v>
      </c>
      <c r="S159" s="348">
        <f t="shared" si="42"/>
        <v>34366</v>
      </c>
      <c r="T159" s="275">
        <f t="shared" si="42"/>
        <v>34366</v>
      </c>
      <c r="U159" s="348">
        <f t="shared" si="42"/>
        <v>0</v>
      </c>
      <c r="V159" s="348">
        <f t="shared" si="42"/>
        <v>0</v>
      </c>
      <c r="W159" s="348">
        <f>SUM(W148,W157)</f>
        <v>0</v>
      </c>
      <c r="X159" s="274">
        <f>SUM(X148,X157)</f>
        <v>33897.71965278484</v>
      </c>
      <c r="Y159" s="275">
        <f t="shared" si="42"/>
        <v>33897.71965278484</v>
      </c>
      <c r="Z159" s="274">
        <f t="shared" si="42"/>
        <v>33860.87943066716</v>
      </c>
      <c r="AA159" s="274">
        <f t="shared" si="42"/>
        <v>34067.31418814389</v>
      </c>
      <c r="AB159" s="274">
        <f t="shared" si="42"/>
        <v>34174.28338811496</v>
      </c>
      <c r="AC159" s="274">
        <f t="shared" si="42"/>
        <v>34309.586842322606</v>
      </c>
      <c r="AD159" s="275">
        <f t="shared" si="42"/>
        <v>34309.586842322606</v>
      </c>
      <c r="AE159" s="275">
        <f t="shared" si="42"/>
        <v>34877.9430516847</v>
      </c>
      <c r="AF159" s="275">
        <f t="shared" si="42"/>
        <v>35183.91396020394</v>
      </c>
      <c r="AG159" s="275">
        <f>SUM(AG148,AG157)</f>
        <v>35548.10779167009</v>
      </c>
      <c r="AH159" s="8"/>
      <c r="AI159" s="8"/>
      <c r="AJ159" s="8"/>
      <c r="AK159" s="8"/>
    </row>
    <row r="160" ht="13.5" customHeight="1" spans="1:37" x14ac:dyDescent="0.25">
      <c r="A160" s="257"/>
      <c r="B160" s="8"/>
      <c r="C160" s="130"/>
      <c r="D160" s="8"/>
      <c r="E160" s="8"/>
      <c r="F160" s="308"/>
      <c r="G160" s="308"/>
      <c r="H160" s="308"/>
      <c r="I160" s="308"/>
      <c r="J160" s="8"/>
      <c r="K160" s="308"/>
      <c r="L160" s="308"/>
      <c r="M160" s="308"/>
      <c r="N160" s="308"/>
      <c r="O160" s="8"/>
      <c r="P160" s="308"/>
      <c r="Q160" s="308"/>
      <c r="R160" s="308"/>
      <c r="S160" s="308"/>
      <c r="T160" s="8"/>
      <c r="U160" s="308"/>
      <c r="V160" s="308"/>
      <c r="W160" s="308"/>
      <c r="X160" s="309"/>
      <c r="Y160" s="8"/>
      <c r="Z160" s="309"/>
      <c r="AA160" s="309"/>
      <c r="AB160" s="309"/>
      <c r="AC160" s="309"/>
      <c r="AD160" s="8"/>
      <c r="AE160" s="8"/>
      <c r="AF160" s="8"/>
      <c r="AG160" s="8"/>
      <c r="AH160" s="8"/>
      <c r="AI160" s="8"/>
      <c r="AJ160" s="8"/>
      <c r="AK160" s="8"/>
    </row>
    <row r="161" ht="13.5" customHeight="1" spans="1:37" x14ac:dyDescent="0.25">
      <c r="A161" s="257"/>
      <c r="B161" s="406"/>
      <c r="C161" s="421" t="s">
        <v>360</v>
      </c>
      <c r="D161" s="422"/>
      <c r="E161" s="422"/>
      <c r="F161" s="423">
        <f>F135-F159</f>
        <v>0</v>
      </c>
      <c r="G161" s="423">
        <f>G135-G159</f>
        <v>0</v>
      </c>
      <c r="H161" s="423">
        <f>H135-H159</f>
        <v>0</v>
      </c>
      <c r="I161" s="423">
        <f>I135-I159</f>
        <v>0</v>
      </c>
      <c r="J161" s="424">
        <f>J135-J159</f>
        <v>0</v>
      </c>
      <c r="K161" s="423">
        <f t="shared" ref="K161:AF161" si="43">K135-K159</f>
        <v>0</v>
      </c>
      <c r="L161" s="423">
        <f t="shared" si="43"/>
        <v>0</v>
      </c>
      <c r="M161" s="423">
        <f t="shared" si="43"/>
        <v>0</v>
      </c>
      <c r="N161" s="423">
        <f t="shared" si="43"/>
        <v>0</v>
      </c>
      <c r="O161" s="424">
        <f t="shared" si="43"/>
        <v>0</v>
      </c>
      <c r="P161" s="423">
        <f t="shared" si="43"/>
        <v>0</v>
      </c>
      <c r="Q161" s="423">
        <f t="shared" si="43"/>
        <v>0</v>
      </c>
      <c r="R161" s="423">
        <f t="shared" si="43"/>
        <v>0</v>
      </c>
      <c r="S161" s="423">
        <f t="shared" si="43"/>
        <v>0</v>
      </c>
      <c r="T161" s="424">
        <f t="shared" si="43"/>
        <v>0</v>
      </c>
      <c r="U161" s="423">
        <f t="shared" si="43"/>
        <v>0</v>
      </c>
      <c r="V161" s="423">
        <f t="shared" si="43"/>
        <v>0</v>
      </c>
      <c r="W161" s="423">
        <f>W135-W159</f>
        <v>0</v>
      </c>
      <c r="X161" s="425">
        <f>X135-X159</f>
        <v>0</v>
      </c>
      <c r="Y161" s="424">
        <f t="shared" si="43"/>
        <v>0</v>
      </c>
      <c r="Z161" s="425">
        <f t="shared" si="43"/>
        <v>0</v>
      </c>
      <c r="AA161" s="425">
        <f t="shared" si="43"/>
        <v>0</v>
      </c>
      <c r="AB161" s="425">
        <f t="shared" si="43"/>
        <v>0</v>
      </c>
      <c r="AC161" s="425">
        <f t="shared" si="43"/>
        <v>0</v>
      </c>
      <c r="AD161" s="424">
        <f t="shared" si="43"/>
        <v>0</v>
      </c>
      <c r="AE161" s="424">
        <f t="shared" si="43"/>
        <v>0</v>
      </c>
      <c r="AF161" s="424">
        <f t="shared" si="43"/>
        <v>0</v>
      </c>
      <c r="AG161" s="426">
        <f>AG135-AG159</f>
        <v>0</v>
      </c>
      <c r="AH161" s="296"/>
      <c r="AI161" s="296"/>
      <c r="AJ161" s="296"/>
      <c r="AK161" s="296"/>
    </row>
    <row r="162" ht="13.5" customHeight="1" spans="1:37" x14ac:dyDescent="0.25">
      <c r="A162" s="257"/>
      <c r="B162" s="8"/>
      <c r="C162" s="8"/>
      <c r="D162" s="8"/>
      <c r="E162" s="8"/>
      <c r="F162" s="308"/>
      <c r="G162" s="308"/>
      <c r="H162" s="308"/>
      <c r="I162" s="308"/>
      <c r="J162" s="8"/>
      <c r="K162" s="308"/>
      <c r="L162" s="308"/>
      <c r="M162" s="308"/>
      <c r="N162" s="308"/>
      <c r="O162" s="8"/>
      <c r="P162" s="308"/>
      <c r="Q162" s="308"/>
      <c r="R162" s="308"/>
      <c r="S162" s="308"/>
      <c r="T162" s="8"/>
      <c r="U162" s="308"/>
      <c r="V162" s="308"/>
      <c r="W162" s="308"/>
      <c r="X162" s="309"/>
      <c r="Y162" s="8"/>
      <c r="Z162" s="309"/>
      <c r="AA162" s="309"/>
      <c r="AB162" s="309"/>
      <c r="AC162" s="309"/>
      <c r="AD162" s="8"/>
      <c r="AE162" s="8"/>
      <c r="AF162" s="8"/>
      <c r="AG162" s="8"/>
      <c r="AH162" s="8"/>
      <c r="AI162" s="8"/>
      <c r="AJ162" s="8"/>
      <c r="AK162" s="8"/>
    </row>
    <row r="163" ht="13.5" customHeight="1" spans="1:37" x14ac:dyDescent="0.25">
      <c r="A163" s="257" t="s">
        <v>3</v>
      </c>
      <c r="B163" s="40"/>
      <c r="C163" s="53" t="s">
        <v>361</v>
      </c>
      <c r="D163" s="11"/>
      <c r="E163" s="11"/>
      <c r="F163" s="54">
        <f t="shared" ref="F163:AG163" si="44">F$65</f>
        <v>0</v>
      </c>
      <c r="G163" s="54">
        <f t="shared" si="44"/>
        <v>0</v>
      </c>
      <c r="H163" s="54">
        <f t="shared" si="44"/>
        <v>0</v>
      </c>
      <c r="I163" s="54">
        <f t="shared" si="44"/>
        <v>0</v>
      </c>
      <c r="J163" s="54">
        <f t="shared" si="44"/>
        <v>2023</v>
      </c>
      <c r="K163" s="54">
        <f t="shared" si="44"/>
        <v>0</v>
      </c>
      <c r="L163" s="54">
        <f t="shared" si="44"/>
        <v>0</v>
      </c>
      <c r="M163" s="54">
        <f t="shared" si="44"/>
        <v>0</v>
      </c>
      <c r="N163" s="54">
        <f t="shared" si="44"/>
        <v>0</v>
      </c>
      <c r="O163" s="54">
        <f t="shared" si="44"/>
        <v>2024</v>
      </c>
      <c r="P163" s="54">
        <f t="shared" si="44"/>
        <v>0</v>
      </c>
      <c r="Q163" s="54">
        <f t="shared" si="44"/>
        <v>0</v>
      </c>
      <c r="R163" s="54">
        <f t="shared" si="44"/>
        <v>0</v>
      </c>
      <c r="S163" s="54">
        <f t="shared" si="44"/>
        <v>0</v>
      </c>
      <c r="T163" s="54">
        <f t="shared" si="44"/>
        <v>2025</v>
      </c>
      <c r="U163" s="54" t="str">
        <f t="shared" si="44"/>
        <v>1Q26e</v>
      </c>
      <c r="V163" s="54" t="str">
        <f t="shared" si="44"/>
        <v>2Q26e</v>
      </c>
      <c r="W163" s="54" t="str">
        <f t="shared" si="44"/>
        <v>3Q26</v>
      </c>
      <c r="X163" s="54" t="str">
        <f t="shared" si="44"/>
        <v>4Q26e</v>
      </c>
      <c r="Y163" s="54" t="str">
        <f t="shared" si="44"/>
        <v>2026e</v>
      </c>
      <c r="Z163" s="54" t="str">
        <f t="shared" si="44"/>
        <v>1Q27e</v>
      </c>
      <c r="AA163" s="54" t="str">
        <f t="shared" si="44"/>
        <v>2Q27e</v>
      </c>
      <c r="AB163" s="54" t="str">
        <f t="shared" si="44"/>
        <v>3Q27e</v>
      </c>
      <c r="AC163" s="54" t="str">
        <f t="shared" si="44"/>
        <v>4Q27e</v>
      </c>
      <c r="AD163" s="54" t="str">
        <f t="shared" si="44"/>
        <v>2027e</v>
      </c>
      <c r="AE163" s="54" t="str">
        <f t="shared" si="44"/>
        <v>2028e</v>
      </c>
      <c r="AF163" s="54" t="str">
        <f t="shared" si="44"/>
        <v>2029e</v>
      </c>
      <c r="AG163" s="55" t="str">
        <f t="shared" si="44"/>
        <v>2030e</v>
      </c>
      <c r="AH163" s="257" t="s">
        <v>3</v>
      </c>
      <c r="AI163" s="8"/>
      <c r="AJ163" s="8"/>
      <c r="AK163" s="8"/>
    </row>
    <row r="164" ht="13.5" customHeight="1" spans="1:37" x14ac:dyDescent="0.25">
      <c r="A164" s="257"/>
      <c r="B164" s="8"/>
      <c r="C164" s="8"/>
      <c r="D164" s="8"/>
      <c r="E164" s="8"/>
      <c r="F164" s="308"/>
      <c r="G164" s="308"/>
      <c r="H164" s="308"/>
      <c r="I164" s="308"/>
      <c r="J164" s="8"/>
      <c r="K164" s="308"/>
      <c r="L164" s="308"/>
      <c r="M164" s="308"/>
      <c r="N164" s="308"/>
      <c r="O164" s="8"/>
      <c r="P164" s="308"/>
      <c r="Q164" s="308"/>
      <c r="R164" s="308"/>
      <c r="S164" s="308"/>
      <c r="T164" s="8"/>
      <c r="U164" s="308"/>
      <c r="V164" s="308"/>
      <c r="W164" s="308"/>
      <c r="X164" s="309"/>
      <c r="Y164" s="8"/>
      <c r="Z164" s="309"/>
      <c r="AA164" s="309"/>
      <c r="AB164" s="309"/>
      <c r="AC164" s="309"/>
      <c r="AD164" s="8"/>
      <c r="AE164" s="8"/>
      <c r="AF164" s="8"/>
      <c r="AG164" s="8"/>
      <c r="AH164" s="8"/>
      <c r="AI164" s="8"/>
      <c r="AJ164" s="8"/>
      <c r="AK164" s="8"/>
    </row>
    <row r="165" ht="13.5" customHeight="1" spans="1:37" x14ac:dyDescent="0.25">
      <c r="A165" s="257"/>
      <c r="B165" s="8"/>
      <c r="C165" s="130" t="str">
        <f>C124</f>
        <v>Accounts Receivable</v>
      </c>
      <c r="D165" s="8"/>
      <c r="E165" s="8"/>
      <c r="F165" s="348">
        <f t="shared" ref="F165:J167" si="45">F124</f>
        <v>1686.4</v>
      </c>
      <c r="G165" s="348">
        <f t="shared" si="45"/>
        <v>1740</v>
      </c>
      <c r="H165" s="348">
        <f t="shared" si="45"/>
        <v>1829.7</v>
      </c>
      <c r="I165" s="348">
        <f t="shared" si="45"/>
        <v>1768</v>
      </c>
      <c r="J165" s="275">
        <f t="shared" si="45"/>
        <v>1768</v>
      </c>
      <c r="K165" s="348">
        <f t="shared" ref="K165:W165" si="46">K124</f>
        <v>1763</v>
      </c>
      <c r="L165" s="348">
        <f t="shared" si="46"/>
        <v>1817.8</v>
      </c>
      <c r="M165" s="348">
        <f t="shared" si="46"/>
        <v>1847.5</v>
      </c>
      <c r="N165" s="348">
        <f t="shared" si="46"/>
        <v>1821</v>
      </c>
      <c r="O165" s="275">
        <f t="shared" si="46"/>
        <v>1821</v>
      </c>
      <c r="P165" s="348">
        <f t="shared" si="46"/>
        <v>1854</v>
      </c>
      <c r="Q165" s="348">
        <f t="shared" si="46"/>
        <v>1880</v>
      </c>
      <c r="R165" s="348">
        <f t="shared" si="46"/>
        <v>1900</v>
      </c>
      <c r="S165" s="348">
        <f t="shared" si="46"/>
        <v>1897</v>
      </c>
      <c r="T165" s="275">
        <f t="shared" si="46"/>
        <v>1897</v>
      </c>
      <c r="U165" s="348">
        <f t="shared" si="46"/>
        <v>0</v>
      </c>
      <c r="V165" s="348">
        <f t="shared" si="46"/>
        <v>0</v>
      </c>
      <c r="W165" s="348">
        <f t="shared" si="46"/>
        <v>0</v>
      </c>
      <c r="X165" s="274">
        <f>X185*X28/X$26</f>
        <v>2015.4031035635867</v>
      </c>
      <c r="Y165" s="275">
        <f>X165</f>
        <v>2015.4031035635867</v>
      </c>
      <c r="Z165" s="274">
        <f>Z185*Z28/Z$26</f>
        <v>1973.3736809098903</v>
      </c>
      <c r="AA165" s="274">
        <f>AA185*AA28/AA$26</f>
        <v>2029.1491445406596</v>
      </c>
      <c r="AB165" s="274">
        <f>AB185*AB28/AB$26</f>
        <v>2028.4567486956514</v>
      </c>
      <c r="AC165" s="274">
        <f>AC185*AC28/AC$26</f>
        <v>2030.2895191478256</v>
      </c>
      <c r="AD165" s="275">
        <f>AC165</f>
        <v>2030.2895191478256</v>
      </c>
      <c r="AE165" s="275">
        <f>AE185*AE28/AE$26</f>
        <v>2156.561002862667</v>
      </c>
      <c r="AF165" s="275">
        <f>AF185*AF28/AF$26</f>
        <v>2233.402876987736</v>
      </c>
      <c r="AG165" s="275">
        <f>AG185*AG28/AG$26</f>
        <v>2340.828030441708</v>
      </c>
      <c r="AH165" s="8"/>
      <c r="AI165" s="8"/>
      <c r="AJ165" s="8"/>
      <c r="AK165" s="8"/>
    </row>
    <row r="166" ht="13.5" customHeight="1" spans="1:37" x14ac:dyDescent="0.25">
      <c r="A166" s="257"/>
      <c r="B166" s="8"/>
      <c r="C166" s="130" t="str">
        <f>C125</f>
        <v>Inventory</v>
      </c>
      <c r="D166" s="8"/>
      <c r="E166" s="8"/>
      <c r="F166" s="401">
        <f t="shared" si="45"/>
        <v>97.9</v>
      </c>
      <c r="G166" s="401">
        <f t="shared" si="45"/>
        <v>96.1</v>
      </c>
      <c r="H166" s="401">
        <f t="shared" si="45"/>
        <v>100</v>
      </c>
      <c r="I166" s="401">
        <f t="shared" si="45"/>
        <v>98</v>
      </c>
      <c r="J166" s="153">
        <f t="shared" si="45"/>
        <v>98</v>
      </c>
      <c r="K166" s="401">
        <f t="shared" ref="K166:W166" si="47">K125</f>
        <v>101.4</v>
      </c>
      <c r="L166" s="401">
        <f t="shared" si="47"/>
        <v>99.9</v>
      </c>
      <c r="M166" s="401">
        <f t="shared" si="47"/>
        <v>97.7</v>
      </c>
      <c r="N166" s="401">
        <f t="shared" si="47"/>
        <v>98</v>
      </c>
      <c r="O166" s="153">
        <f t="shared" si="47"/>
        <v>98</v>
      </c>
      <c r="P166" s="401">
        <f t="shared" si="47"/>
        <v>102</v>
      </c>
      <c r="Q166" s="401">
        <f t="shared" si="47"/>
        <v>104</v>
      </c>
      <c r="R166" s="401">
        <f t="shared" si="47"/>
        <v>103</v>
      </c>
      <c r="S166" s="401">
        <f t="shared" si="47"/>
        <v>106</v>
      </c>
      <c r="T166" s="153">
        <f t="shared" si="47"/>
        <v>106</v>
      </c>
      <c r="U166" s="401">
        <f t="shared" si="47"/>
        <v>0</v>
      </c>
      <c r="V166" s="401">
        <f t="shared" si="47"/>
        <v>0</v>
      </c>
      <c r="W166" s="401">
        <f t="shared" si="47"/>
        <v>0</v>
      </c>
      <c r="X166" s="358">
        <f>X186*-X29/X$26</f>
        <v>0</v>
      </c>
      <c r="Y166" s="153">
        <f>X166</f>
        <v>0</v>
      </c>
      <c r="Z166" s="358">
        <f>Z186*-Z29/Z$26</f>
        <v>0</v>
      </c>
      <c r="AA166" s="358">
        <f>AA186*-AA29/AA$26</f>
        <v>0</v>
      </c>
      <c r="AB166" s="358">
        <f>AB186*-AB29/AB$26</f>
        <v>0</v>
      </c>
      <c r="AC166" s="358">
        <f>AC186*-AC29/AC$26</f>
        <v>0</v>
      </c>
      <c r="AD166" s="153">
        <f>AC166</f>
        <v>0</v>
      </c>
      <c r="AE166" s="153">
        <f>AE186*-AE29/AE$26</f>
        <v>0</v>
      </c>
      <c r="AF166" s="153">
        <f>AF186*-AF29/AF$26</f>
        <v>0</v>
      </c>
      <c r="AG166" s="153">
        <f>AG186*-AG29/AG$26</f>
        <v>0</v>
      </c>
      <c r="AH166" s="8"/>
      <c r="AI166" s="8"/>
      <c r="AJ166" s="8"/>
      <c r="AK166" s="8"/>
    </row>
    <row r="167" ht="13.5" customHeight="1" spans="1:37" x14ac:dyDescent="0.25">
      <c r="A167" s="257"/>
      <c r="B167" s="8"/>
      <c r="C167" s="130" t="str">
        <f>C126</f>
        <v>Prepaid &amp; Other Current Assets</v>
      </c>
      <c r="D167" s="8"/>
      <c r="E167" s="8"/>
      <c r="F167" s="385">
        <f t="shared" si="45"/>
        <v>324.9</v>
      </c>
      <c r="G167" s="385">
        <f t="shared" si="45"/>
        <v>244</v>
      </c>
      <c r="H167" s="385">
        <f t="shared" si="45"/>
        <v>261.2</v>
      </c>
      <c r="I167" s="385">
        <f t="shared" si="45"/>
        <v>375</v>
      </c>
      <c r="J167" s="351">
        <f t="shared" si="45"/>
        <v>375</v>
      </c>
      <c r="K167" s="385">
        <f t="shared" ref="K167:W167" si="48">K126</f>
        <v>317.2</v>
      </c>
      <c r="L167" s="385">
        <f t="shared" si="48"/>
        <v>251</v>
      </c>
      <c r="M167" s="385">
        <f t="shared" si="48"/>
        <v>320.2</v>
      </c>
      <c r="N167" s="385">
        <f t="shared" si="48"/>
        <v>413</v>
      </c>
      <c r="O167" s="351">
        <f t="shared" si="48"/>
        <v>413</v>
      </c>
      <c r="P167" s="385">
        <f t="shared" si="48"/>
        <v>282</v>
      </c>
      <c r="Q167" s="385">
        <f t="shared" si="48"/>
        <v>310</v>
      </c>
      <c r="R167" s="385">
        <f t="shared" si="48"/>
        <v>397</v>
      </c>
      <c r="S167" s="385">
        <f t="shared" si="48"/>
        <v>444</v>
      </c>
      <c r="T167" s="351">
        <f t="shared" si="48"/>
        <v>444</v>
      </c>
      <c r="U167" s="385">
        <f t="shared" si="48"/>
        <v>0</v>
      </c>
      <c r="V167" s="385">
        <f t="shared" si="48"/>
        <v>0</v>
      </c>
      <c r="W167" s="385">
        <f t="shared" si="48"/>
        <v>0</v>
      </c>
      <c r="X167" s="353">
        <f>X189*X28*4</f>
        <v>461.32480609799995</v>
      </c>
      <c r="Y167" s="351">
        <f>X167</f>
        <v>461.32480609799995</v>
      </c>
      <c r="Z167" s="353">
        <f>Z189*Z28*4</f>
        <v>383.56253487199996</v>
      </c>
      <c r="AA167" s="353">
        <f>AA189*AA28*4</f>
        <v>404.214585808</v>
      </c>
      <c r="AB167" s="353">
        <f>AB189*AB28*4</f>
        <v>402.5094567999999</v>
      </c>
      <c r="AC167" s="353">
        <f>AC189*AC28*4</f>
        <v>397.99573721599995</v>
      </c>
      <c r="AD167" s="351">
        <f>AC167</f>
        <v>397.99573721599995</v>
      </c>
      <c r="AE167" s="351">
        <f>AE189*AE28</f>
        <v>416.2784820429619</v>
      </c>
      <c r="AF167" s="351">
        <f>AF189*AF28</f>
        <v>437.4201244441834</v>
      </c>
      <c r="AG167" s="351">
        <f>AG189*AG28</f>
        <v>458.45973376699794</v>
      </c>
      <c r="AH167" s="8"/>
      <c r="AI167" s="8"/>
      <c r="AJ167" s="8"/>
      <c r="AK167" s="8"/>
    </row>
    <row r="168" ht="13.5" customHeight="1" spans="1:37" x14ac:dyDescent="0.25">
      <c r="A168" s="257"/>
      <c r="B168" s="8"/>
      <c r="C168" s="8" t="s">
        <v>362</v>
      </c>
      <c r="D168" s="8"/>
      <c r="E168" s="8"/>
      <c r="F168" s="348">
        <f>SUM(F165:F167)</f>
        <v>2109.2000000000003</v>
      </c>
      <c r="G168" s="348">
        <f>SUM(G165:G167)</f>
        <v>2080.1</v>
      </c>
      <c r="H168" s="348">
        <f>SUM(H165:H167)</f>
        <v>2190.9</v>
      </c>
      <c r="I168" s="348">
        <f>SUM(I165:I167)</f>
        <v>2241</v>
      </c>
      <c r="J168" s="275">
        <f>SUM(J165:J167)</f>
        <v>2241</v>
      </c>
      <c r="K168" s="348">
        <f t="shared" ref="K168:AG168" si="49">SUM(K165:K167)</f>
        <v>2181.6</v>
      </c>
      <c r="L168" s="348">
        <f t="shared" si="49"/>
        <v>2168.7</v>
      </c>
      <c r="M168" s="348">
        <f t="shared" si="49"/>
        <v>2265.4</v>
      </c>
      <c r="N168" s="348">
        <f t="shared" si="49"/>
        <v>2332</v>
      </c>
      <c r="O168" s="275">
        <f t="shared" si="49"/>
        <v>2332</v>
      </c>
      <c r="P168" s="348">
        <f t="shared" si="49"/>
        <v>2238</v>
      </c>
      <c r="Q168" s="348">
        <f t="shared" si="49"/>
        <v>2294</v>
      </c>
      <c r="R168" s="348">
        <f t="shared" si="49"/>
        <v>2400</v>
      </c>
      <c r="S168" s="348">
        <f t="shared" si="49"/>
        <v>2447</v>
      </c>
      <c r="T168" s="275">
        <f t="shared" si="49"/>
        <v>2447</v>
      </c>
      <c r="U168" s="348">
        <f t="shared" si="49"/>
        <v>0</v>
      </c>
      <c r="V168" s="348">
        <f t="shared" si="49"/>
        <v>0</v>
      </c>
      <c r="W168" s="348">
        <f>SUM(W165:W167)</f>
        <v>0</v>
      </c>
      <c r="X168" s="274">
        <f t="shared" si="49"/>
        <v>2476.7279096615866</v>
      </c>
      <c r="Y168" s="275">
        <f t="shared" si="49"/>
        <v>2476.7279096615866</v>
      </c>
      <c r="Z168" s="274">
        <f t="shared" si="49"/>
        <v>2356.93621578189</v>
      </c>
      <c r="AA168" s="274">
        <f t="shared" si="49"/>
        <v>2433.3637303486594</v>
      </c>
      <c r="AB168" s="274">
        <f t="shared" si="49"/>
        <v>2430.966205495651</v>
      </c>
      <c r="AC168" s="274">
        <f t="shared" si="49"/>
        <v>2428.2852563638253</v>
      </c>
      <c r="AD168" s="275">
        <f t="shared" si="49"/>
        <v>2428.2852563638253</v>
      </c>
      <c r="AE168" s="275">
        <f t="shared" si="49"/>
        <v>2572.839484905629</v>
      </c>
      <c r="AF168" s="275">
        <f t="shared" si="49"/>
        <v>2670.8230014319192</v>
      </c>
      <c r="AG168" s="275">
        <f t="shared" si="49"/>
        <v>2799.287764208706</v>
      </c>
      <c r="AH168" s="8"/>
      <c r="AI168" s="8"/>
      <c r="AJ168" s="8"/>
      <c r="AK168" s="8"/>
    </row>
    <row r="169" ht="13.5" customHeight="1" spans="1:37" x14ac:dyDescent="0.25">
      <c r="A169" s="257"/>
      <c r="B169" s="8"/>
      <c r="C169" s="8"/>
      <c r="D169" s="8"/>
      <c r="E169" s="8"/>
      <c r="F169" s="308"/>
      <c r="G169" s="308"/>
      <c r="H169" s="308"/>
      <c r="I169" s="308"/>
      <c r="J169" s="8"/>
      <c r="K169" s="308"/>
      <c r="L169" s="308"/>
      <c r="M169" s="308"/>
      <c r="N169" s="308"/>
      <c r="O169" s="8"/>
      <c r="P169" s="308"/>
      <c r="Q169" s="308"/>
      <c r="R169" s="308"/>
      <c r="S169" s="308"/>
      <c r="T169" s="8"/>
      <c r="U169" s="308"/>
      <c r="V169" s="308"/>
      <c r="W169" s="308"/>
      <c r="X169" s="309"/>
      <c r="Y169" s="8"/>
      <c r="Z169" s="309"/>
      <c r="AA169" s="309"/>
      <c r="AB169" s="309"/>
      <c r="AC169" s="309"/>
      <c r="AD169" s="8"/>
      <c r="AE169" s="8"/>
      <c r="AF169" s="8"/>
      <c r="AG169" s="8"/>
      <c r="AH169" s="8"/>
      <c r="AI169" s="8"/>
      <c r="AJ169" s="8"/>
      <c r="AK169" s="8"/>
    </row>
    <row r="170" ht="13.5" customHeight="1" spans="1:37" x14ac:dyDescent="0.25">
      <c r="A170" s="257"/>
      <c r="B170" s="8"/>
      <c r="C170" s="130" t="str">
        <f>C137</f>
        <v>Accounts Payable</v>
      </c>
      <c r="D170" s="8"/>
      <c r="E170" s="8"/>
      <c r="F170" s="348">
        <f t="shared" ref="F170:J172" si="50">F137</f>
        <v>984.2</v>
      </c>
      <c r="G170" s="348">
        <f t="shared" si="50"/>
        <v>1098.4</v>
      </c>
      <c r="H170" s="348">
        <f t="shared" si="50"/>
        <v>1198.2</v>
      </c>
      <c r="I170" s="348">
        <f t="shared" si="50"/>
        <v>1412</v>
      </c>
      <c r="J170" s="275">
        <f t="shared" si="50"/>
        <v>1412</v>
      </c>
      <c r="K170" s="348">
        <f t="shared" ref="K170:V170" si="51">K137</f>
        <v>1179.2</v>
      </c>
      <c r="L170" s="348">
        <f t="shared" si="51"/>
        <v>1285.5</v>
      </c>
      <c r="M170" s="348">
        <f t="shared" si="51"/>
        <v>1225.4</v>
      </c>
      <c r="N170" s="348">
        <f t="shared" si="51"/>
        <v>1345</v>
      </c>
      <c r="O170" s="275">
        <f t="shared" si="51"/>
        <v>1345</v>
      </c>
      <c r="P170" s="348">
        <f t="shared" si="51"/>
        <v>1154</v>
      </c>
      <c r="Q170" s="348">
        <f t="shared" si="51"/>
        <v>1199</v>
      </c>
      <c r="R170" s="348">
        <f t="shared" si="51"/>
        <v>1247</v>
      </c>
      <c r="S170" s="348">
        <f t="shared" si="51"/>
        <v>1374</v>
      </c>
      <c r="T170" s="275">
        <f t="shared" si="51"/>
        <v>1374</v>
      </c>
      <c r="U170" s="348">
        <f t="shared" si="51"/>
        <v>0</v>
      </c>
      <c r="V170" s="348">
        <f t="shared" si="51"/>
        <v>0</v>
      </c>
      <c r="W170" s="348">
        <f>W137</f>
        <v>0</v>
      </c>
      <c r="X170" s="274">
        <f>X187*-X29/X26</f>
        <v>1305.2869095615652</v>
      </c>
      <c r="Y170" s="275">
        <f>X170</f>
        <v>1305.2869095615652</v>
      </c>
      <c r="Z170" s="274">
        <f>Z187*-Z29/Z26</f>
        <v>1342.468872052</v>
      </c>
      <c r="AA170" s="274">
        <f>AA187*-AA29/AA26</f>
        <v>1407.6591235914836</v>
      </c>
      <c r="AB170" s="274">
        <f>AB187*-AB29/AB26</f>
        <v>1379.2511549586955</v>
      </c>
      <c r="AC170" s="274">
        <f>AC187*-AC29/AC26</f>
        <v>1349.7246740368696</v>
      </c>
      <c r="AD170" s="275">
        <f>AC170</f>
        <v>1349.7246740368696</v>
      </c>
      <c r="AE170" s="275">
        <f>AE187*-AE29/AE26</f>
        <v>1401.1166467517003</v>
      </c>
      <c r="AF170" s="275">
        <f>AF187*-AF29/AF26</f>
        <v>1464.4586084131292</v>
      </c>
      <c r="AG170" s="275">
        <f>AG187*-AG29/AG26</f>
        <v>1534.8980675706073</v>
      </c>
      <c r="AH170" s="8"/>
      <c r="AI170" s="8"/>
      <c r="AJ170" s="8"/>
      <c r="AK170" s="8"/>
    </row>
    <row r="171" ht="13.5" customHeight="1" spans="1:37" x14ac:dyDescent="0.25">
      <c r="A171" s="257"/>
      <c r="B171" s="8"/>
      <c r="C171" s="130" t="str">
        <f>C138</f>
        <v>Accrued Liabilities</v>
      </c>
      <c r="D171" s="8"/>
      <c r="E171" s="8"/>
      <c r="F171" s="401">
        <f t="shared" si="50"/>
        <v>212.2</v>
      </c>
      <c r="G171" s="401">
        <f t="shared" si="50"/>
        <v>264.8</v>
      </c>
      <c r="H171" s="401">
        <f t="shared" si="50"/>
        <v>97.9</v>
      </c>
      <c r="I171" s="401">
        <f t="shared" si="50"/>
        <v>2.1</v>
      </c>
      <c r="J171" s="153">
        <f t="shared" si="50"/>
        <v>2.1</v>
      </c>
      <c r="K171" s="401">
        <f t="shared" ref="K171:V171" si="52">K138</f>
        <v>225.5</v>
      </c>
      <c r="L171" s="401">
        <f t="shared" si="52"/>
        <v>41.8</v>
      </c>
      <c r="M171" s="401">
        <f t="shared" si="52"/>
        <v>23.2</v>
      </c>
      <c r="N171" s="401">
        <f t="shared" si="52"/>
        <v>339</v>
      </c>
      <c r="O171" s="153">
        <f t="shared" si="52"/>
        <v>339</v>
      </c>
      <c r="P171" s="401">
        <f t="shared" si="52"/>
        <v>252</v>
      </c>
      <c r="Q171" s="401">
        <f t="shared" si="52"/>
        <v>298</v>
      </c>
      <c r="R171" s="401">
        <f t="shared" si="52"/>
        <v>334</v>
      </c>
      <c r="S171" s="401">
        <f t="shared" si="52"/>
        <v>313</v>
      </c>
      <c r="T171" s="153">
        <f t="shared" si="52"/>
        <v>313</v>
      </c>
      <c r="U171" s="401">
        <f t="shared" si="52"/>
        <v>0</v>
      </c>
      <c r="V171" s="401">
        <f t="shared" si="52"/>
        <v>0</v>
      </c>
      <c r="W171" s="401">
        <f>W138</f>
        <v>0</v>
      </c>
      <c r="X171" s="358">
        <f>X190*-X29*4</f>
        <v>153.30178171872</v>
      </c>
      <c r="Y171" s="153">
        <f>X171</f>
        <v>153.30178171872</v>
      </c>
      <c r="Z171" s="358">
        <f>Z190*-Z29*4</f>
        <v>139.61676269340802</v>
      </c>
      <c r="AA171" s="358">
        <f>AA190*-AA29*4</f>
        <v>147.9057916252</v>
      </c>
      <c r="AB171" s="358">
        <f>AB190*-AB29*4</f>
        <v>146.51344227519996</v>
      </c>
      <c r="AC171" s="358">
        <f>AC190*-AC29*4</f>
        <v>144.87044834662402</v>
      </c>
      <c r="AD171" s="153">
        <f>AC171</f>
        <v>144.87044834662402</v>
      </c>
      <c r="AE171" s="153">
        <f>AE190*-AE29</f>
        <v>150.73065399791977</v>
      </c>
      <c r="AF171" s="153">
        <f>AF190*-AF29</f>
        <v>159.22092529768278</v>
      </c>
      <c r="AG171" s="153">
        <f>AG190*-AG29</f>
        <v>166.87934309118728</v>
      </c>
      <c r="AH171" s="8"/>
      <c r="AI171" s="8"/>
      <c r="AJ171" s="8"/>
      <c r="AK171" s="8"/>
    </row>
    <row r="172" ht="13.5" customHeight="1" spans="1:37" x14ac:dyDescent="0.25">
      <c r="A172" s="257"/>
      <c r="B172" s="8"/>
      <c r="C172" s="130" t="str">
        <f>C139</f>
        <v>Other Current Liabilities</v>
      </c>
      <c r="D172" s="8"/>
      <c r="E172" s="8"/>
      <c r="F172" s="385">
        <f t="shared" si="50"/>
        <v>467.1</v>
      </c>
      <c r="G172" s="385">
        <f t="shared" si="50"/>
        <v>467.4</v>
      </c>
      <c r="H172" s="385">
        <f t="shared" si="50"/>
        <v>484.8</v>
      </c>
      <c r="I172" s="385">
        <f t="shared" si="50"/>
        <v>716.7</v>
      </c>
      <c r="J172" s="351">
        <f t="shared" si="50"/>
        <v>716.7</v>
      </c>
      <c r="K172" s="385">
        <f t="shared" ref="K172:V172" si="53">K139</f>
        <v>472.2</v>
      </c>
      <c r="L172" s="385">
        <f t="shared" si="53"/>
        <v>472.5</v>
      </c>
      <c r="M172" s="385">
        <f t="shared" si="53"/>
        <v>485.5</v>
      </c>
      <c r="N172" s="385">
        <f t="shared" si="53"/>
        <v>729</v>
      </c>
      <c r="O172" s="351">
        <f t="shared" si="53"/>
        <v>729</v>
      </c>
      <c r="P172" s="385">
        <f t="shared" si="53"/>
        <v>504</v>
      </c>
      <c r="Q172" s="385">
        <f t="shared" si="53"/>
        <v>490</v>
      </c>
      <c r="R172" s="385">
        <f t="shared" si="53"/>
        <v>504</v>
      </c>
      <c r="S172" s="385">
        <f t="shared" si="53"/>
        <v>721</v>
      </c>
      <c r="T172" s="351">
        <f t="shared" si="53"/>
        <v>721</v>
      </c>
      <c r="U172" s="385">
        <f t="shared" si="53"/>
        <v>0</v>
      </c>
      <c r="V172" s="385">
        <f t="shared" si="53"/>
        <v>0</v>
      </c>
      <c r="W172" s="385">
        <f>W139</f>
        <v>0</v>
      </c>
      <c r="X172" s="353">
        <f>X191*-X29*4</f>
        <v>2810.5326648432</v>
      </c>
      <c r="Y172" s="351">
        <f>X172</f>
        <v>2810.5326648432</v>
      </c>
      <c r="Z172" s="353">
        <f>Z191*-Z29*4</f>
        <v>2792.3352538681606</v>
      </c>
      <c r="AA172" s="353">
        <f>AA191*-AA29*4</f>
        <v>2958.1158325040005</v>
      </c>
      <c r="AB172" s="353">
        <f>AB191*-AB29*4</f>
        <v>2930.2688455039997</v>
      </c>
      <c r="AC172" s="353">
        <f>AC191*-AC29*4</f>
        <v>2897.4089669324803</v>
      </c>
      <c r="AD172" s="351">
        <f>AC172</f>
        <v>2897.4089669324803</v>
      </c>
      <c r="AE172" s="351">
        <f>AE191*-AE29</f>
        <v>3014.6130799583952</v>
      </c>
      <c r="AF172" s="351">
        <f>AF191*-AF29</f>
        <v>3184.4185059536558</v>
      </c>
      <c r="AG172" s="351">
        <f>AG191*-AG29</f>
        <v>3337.586861823746</v>
      </c>
      <c r="AH172" s="8"/>
      <c r="AI172" s="8"/>
      <c r="AJ172" s="8"/>
      <c r="AK172" s="8"/>
    </row>
    <row r="173" ht="13.5" customHeight="1" spans="1:37" x14ac:dyDescent="0.25">
      <c r="A173" s="257"/>
      <c r="B173" s="8"/>
      <c r="C173" s="8" t="s">
        <v>363</v>
      </c>
      <c r="D173" s="8"/>
      <c r="E173" s="8"/>
      <c r="F173" s="348">
        <f>SUM(F170:F172)</f>
        <v>1663.5</v>
      </c>
      <c r="G173" s="348">
        <f>SUM(G170:G172)</f>
        <v>1830.6</v>
      </c>
      <c r="H173" s="348">
        <f>SUM(H170:H172)</f>
        <v>1780.9</v>
      </c>
      <c r="I173" s="348">
        <f>SUM(I170:I172)</f>
        <v>2130.8</v>
      </c>
      <c r="J173" s="275">
        <f>SUM(J170:J172)</f>
        <v>2130.8</v>
      </c>
      <c r="K173" s="348">
        <f t="shared" ref="K173:AG173" si="54">SUM(K170:K172)</f>
        <v>1876.9</v>
      </c>
      <c r="L173" s="348">
        <f t="shared" si="54"/>
        <v>1799.8</v>
      </c>
      <c r="M173" s="348">
        <f t="shared" si="54"/>
        <v>1734.1000000000001</v>
      </c>
      <c r="N173" s="348">
        <f t="shared" si="54"/>
        <v>2413</v>
      </c>
      <c r="O173" s="275">
        <f t="shared" si="54"/>
        <v>2413</v>
      </c>
      <c r="P173" s="348">
        <f t="shared" si="54"/>
        <v>1910</v>
      </c>
      <c r="Q173" s="348">
        <f t="shared" si="54"/>
        <v>1987</v>
      </c>
      <c r="R173" s="348">
        <f t="shared" si="54"/>
        <v>2085</v>
      </c>
      <c r="S173" s="348">
        <f t="shared" si="54"/>
        <v>2408</v>
      </c>
      <c r="T173" s="275">
        <f t="shared" si="54"/>
        <v>2408</v>
      </c>
      <c r="U173" s="348">
        <f t="shared" si="54"/>
        <v>0</v>
      </c>
      <c r="V173" s="348">
        <f t="shared" si="54"/>
        <v>0</v>
      </c>
      <c r="W173" s="348">
        <f>SUM(W170:W172)</f>
        <v>0</v>
      </c>
      <c r="X173" s="274">
        <f t="shared" si="54"/>
        <v>4269.121356123485</v>
      </c>
      <c r="Y173" s="275">
        <f t="shared" si="54"/>
        <v>4269.121356123485</v>
      </c>
      <c r="Z173" s="274">
        <f t="shared" si="54"/>
        <v>4274.420888613568</v>
      </c>
      <c r="AA173" s="274">
        <f t="shared" si="54"/>
        <v>4513.680747720684</v>
      </c>
      <c r="AB173" s="274">
        <f t="shared" si="54"/>
        <v>4456.033442737895</v>
      </c>
      <c r="AC173" s="274">
        <f t="shared" si="54"/>
        <v>4392.004089315974</v>
      </c>
      <c r="AD173" s="275">
        <f t="shared" si="54"/>
        <v>4392.004089315974</v>
      </c>
      <c r="AE173" s="275">
        <f t="shared" si="54"/>
        <v>4566.460380708015</v>
      </c>
      <c r="AF173" s="275">
        <f t="shared" si="54"/>
        <v>4808.098039664468</v>
      </c>
      <c r="AG173" s="275">
        <f t="shared" si="54"/>
        <v>5039.364272485541</v>
      </c>
      <c r="AH173" s="8"/>
      <c r="AI173" s="8"/>
      <c r="AJ173" s="8"/>
      <c r="AK173" s="8"/>
    </row>
    <row r="174" ht="13.5" customHeight="1" spans="1:37" x14ac:dyDescent="0.25">
      <c r="A174" s="257"/>
      <c r="B174" s="8"/>
      <c r="C174" s="8"/>
      <c r="D174" s="8"/>
      <c r="E174" s="8"/>
      <c r="F174" s="308"/>
      <c r="G174" s="308"/>
      <c r="H174" s="308"/>
      <c r="I174" s="308"/>
      <c r="J174" s="8"/>
      <c r="K174" s="308"/>
      <c r="L174" s="308"/>
      <c r="M174" s="308"/>
      <c r="N174" s="308"/>
      <c r="O174" s="8"/>
      <c r="P174" s="308"/>
      <c r="Q174" s="308"/>
      <c r="R174" s="308"/>
      <c r="S174" s="308"/>
      <c r="T174" s="8"/>
      <c r="U174" s="308"/>
      <c r="V174" s="308"/>
      <c r="W174" s="308"/>
      <c r="X174" s="309"/>
      <c r="Y174" s="8"/>
      <c r="Z174" s="309"/>
      <c r="AA174" s="309"/>
      <c r="AB174" s="309"/>
      <c r="AC174" s="309"/>
      <c r="AD174" s="8"/>
      <c r="AE174" s="8"/>
      <c r="AF174" s="8"/>
      <c r="AG174" s="8"/>
      <c r="AH174" s="8"/>
      <c r="AI174" s="8"/>
      <c r="AJ174" s="8"/>
      <c r="AK174" s="8"/>
    </row>
    <row r="175" ht="13.5" customHeight="1" spans="1:37" x14ac:dyDescent="0.25">
      <c r="A175" s="257"/>
      <c r="B175" s="8"/>
      <c r="C175" s="8" t="s">
        <v>364</v>
      </c>
      <c r="D175" s="8"/>
      <c r="E175" s="8"/>
      <c r="F175" s="348">
        <f>F168-F173</f>
        <v>445.7000000000003</v>
      </c>
      <c r="G175" s="348">
        <f>G168-G173</f>
        <v>249.5</v>
      </c>
      <c r="H175" s="348">
        <f>H168-H173</f>
        <v>410</v>
      </c>
      <c r="I175" s="348">
        <f>I168-I173</f>
        <v>110.19999999999982</v>
      </c>
      <c r="J175" s="275">
        <f>J168-J173</f>
        <v>110.19999999999982</v>
      </c>
      <c r="K175" s="348">
        <f t="shared" ref="K175:AG175" si="55">K168-K173</f>
        <v>304.6999999999998</v>
      </c>
      <c r="L175" s="348">
        <f t="shared" si="55"/>
        <v>368.89999999999986</v>
      </c>
      <c r="M175" s="348">
        <f t="shared" si="55"/>
        <v>531.3</v>
      </c>
      <c r="N175" s="348">
        <f t="shared" si="55"/>
        <v>-81</v>
      </c>
      <c r="O175" s="275">
        <f t="shared" si="55"/>
        <v>-81</v>
      </c>
      <c r="P175" s="348">
        <f t="shared" si="55"/>
        <v>328</v>
      </c>
      <c r="Q175" s="348">
        <f t="shared" si="55"/>
        <v>307</v>
      </c>
      <c r="R175" s="348">
        <f t="shared" si="55"/>
        <v>315</v>
      </c>
      <c r="S175" s="348">
        <f t="shared" si="55"/>
        <v>39</v>
      </c>
      <c r="T175" s="275">
        <f t="shared" si="55"/>
        <v>39</v>
      </c>
      <c r="U175" s="348">
        <f t="shared" si="55"/>
        <v>0</v>
      </c>
      <c r="V175" s="348">
        <f t="shared" si="55"/>
        <v>0</v>
      </c>
      <c r="W175" s="348">
        <f>W168-W173</f>
        <v>0</v>
      </c>
      <c r="X175" s="274">
        <f t="shared" si="55"/>
        <v>-1792.3934464618987</v>
      </c>
      <c r="Y175" s="275">
        <f t="shared" si="55"/>
        <v>-1792.3934464618987</v>
      </c>
      <c r="Z175" s="274">
        <f t="shared" si="55"/>
        <v>-1917.4846728316784</v>
      </c>
      <c r="AA175" s="274">
        <f t="shared" si="55"/>
        <v>-2080.3170173720246</v>
      </c>
      <c r="AB175" s="274">
        <f t="shared" si="55"/>
        <v>-2025.0672372422437</v>
      </c>
      <c r="AC175" s="274">
        <f t="shared" si="55"/>
        <v>-1963.7188329521487</v>
      </c>
      <c r="AD175" s="275">
        <f t="shared" si="55"/>
        <v>-1963.7188329521487</v>
      </c>
      <c r="AE175" s="275">
        <f t="shared" si="55"/>
        <v>-1993.6208958023858</v>
      </c>
      <c r="AF175" s="275">
        <f t="shared" si="55"/>
        <v>-2137.275038232549</v>
      </c>
      <c r="AG175" s="275">
        <f t="shared" si="55"/>
        <v>-2240.076508276835</v>
      </c>
      <c r="AH175" s="8"/>
      <c r="AI175" s="8"/>
      <c r="AJ175" s="8"/>
      <c r="AK175" s="8"/>
    </row>
    <row r="176" ht="13.5" customHeight="1" spans="1:37" x14ac:dyDescent="0.25">
      <c r="A176" s="257"/>
      <c r="B176" s="8"/>
      <c r="C176" s="8"/>
      <c r="D176" s="8"/>
      <c r="E176" s="8"/>
      <c r="F176" s="308"/>
      <c r="G176" s="308"/>
      <c r="H176" s="308"/>
      <c r="I176" s="308"/>
      <c r="J176" s="8"/>
      <c r="K176" s="308"/>
      <c r="L176" s="308"/>
      <c r="M176" s="308"/>
      <c r="N176" s="308"/>
      <c r="O176" s="8"/>
      <c r="P176" s="308"/>
      <c r="Q176" s="308"/>
      <c r="R176" s="308"/>
      <c r="S176" s="308"/>
      <c r="T176" s="8"/>
      <c r="U176" s="308"/>
      <c r="V176" s="308"/>
      <c r="W176" s="308"/>
      <c r="X176" s="309"/>
      <c r="Y176" s="8"/>
      <c r="Z176" s="309"/>
      <c r="AA176" s="309"/>
      <c r="AB176" s="309"/>
      <c r="AC176" s="309"/>
      <c r="AD176" s="8"/>
      <c r="AE176" s="8"/>
      <c r="AF176" s="8"/>
      <c r="AG176" s="8"/>
      <c r="AH176" s="8"/>
      <c r="AI176" s="8"/>
      <c r="AJ176" s="8"/>
      <c r="AK176" s="8"/>
    </row>
    <row r="177" ht="13.5" customHeight="1" spans="1:37" x14ac:dyDescent="0.25">
      <c r="A177" s="257"/>
      <c r="B177" s="8"/>
      <c r="C177" s="427" t="s">
        <v>365</v>
      </c>
      <c r="D177" s="91"/>
      <c r="E177" s="91"/>
      <c r="F177" s="408">
        <f>-(F175-E175)</f>
        <v>-445.7000000000003</v>
      </c>
      <c r="G177" s="408">
        <f>-(G175-F175)</f>
        <v>196.20000000000027</v>
      </c>
      <c r="H177" s="408">
        <f>-(H175-G175)</f>
        <v>-160.5</v>
      </c>
      <c r="I177" s="408">
        <f>-(I175-H175)</f>
        <v>299.8000000000002</v>
      </c>
      <c r="J177" s="409">
        <f>-(J175-E175)</f>
        <v>-110.19999999999982</v>
      </c>
      <c r="K177" s="408">
        <f>-(K175-J175)</f>
        <v>-194.5</v>
      </c>
      <c r="L177" s="408">
        <f>-(L175-K175)</f>
        <v>-64.20000000000005</v>
      </c>
      <c r="M177" s="408">
        <f>-(M175-L175)</f>
        <v>-162.4000000000001</v>
      </c>
      <c r="N177" s="408">
        <f>-(N175-M175)</f>
        <v>612.3</v>
      </c>
      <c r="O177" s="409">
        <f>-(O175-J175)</f>
        <v>191.19999999999982</v>
      </c>
      <c r="P177" s="408">
        <f>-(P175-O175)</f>
        <v>-409</v>
      </c>
      <c r="Q177" s="408">
        <f>-(Q175-P175)</f>
        <v>21</v>
      </c>
      <c r="R177" s="408">
        <f>-(R175-Q175)</f>
        <v>-8</v>
      </c>
      <c r="S177" s="408">
        <f>-(S175-R175)</f>
        <v>276</v>
      </c>
      <c r="T177" s="409">
        <f>-(T175-O175)</f>
        <v>-120</v>
      </c>
      <c r="U177" s="408">
        <f>-(U175-T175)</f>
        <v>0</v>
      </c>
      <c r="V177" s="408">
        <f>-(V175-U175)</f>
        <v>0</v>
      </c>
      <c r="W177" s="408">
        <f>-(W175-V175)</f>
        <v>0</v>
      </c>
      <c r="X177" s="410">
        <f>-(X175-W175)</f>
        <v>1792.3934464618987</v>
      </c>
      <c r="Y177" s="409">
        <f>-(Y175-T175)</f>
        <v>1792.3934464618987</v>
      </c>
      <c r="Z177" s="410">
        <f>-(Z175-Y175)</f>
        <v>125.09122636977963</v>
      </c>
      <c r="AA177" s="410">
        <f>-(AA175-Z175)</f>
        <v>162.83234454034618</v>
      </c>
      <c r="AB177" s="410">
        <f>-(AB175-AA175)</f>
        <v>-55.2497801297809</v>
      </c>
      <c r="AC177" s="410">
        <f>-(AC175-AB175)</f>
        <v>-61.348404290095004</v>
      </c>
      <c r="AD177" s="409">
        <f>-(AD175-Y175)</f>
        <v>171.3253864902499</v>
      </c>
      <c r="AE177" s="409">
        <f>-(AE175-AD175)</f>
        <v>29.902062850237144</v>
      </c>
      <c r="AF177" s="409">
        <f>-(AF175-AE175)</f>
        <v>143.65414243016312</v>
      </c>
      <c r="AG177" s="428">
        <f>-(AG175-AF175)</f>
        <v>102.8014700442859</v>
      </c>
      <c r="AH177" s="8"/>
      <c r="AI177" s="8"/>
      <c r="AJ177" s="8"/>
      <c r="AK177" s="8"/>
    </row>
    <row r="178" ht="13.5" customHeight="1" spans="1:37" x14ac:dyDescent="0.25">
      <c r="A178" s="257"/>
      <c r="B178" s="8"/>
      <c r="C178" s="8"/>
      <c r="D178" s="8"/>
      <c r="E178" s="8"/>
      <c r="F178" s="308"/>
      <c r="G178" s="308"/>
      <c r="H178" s="308"/>
      <c r="I178" s="308"/>
      <c r="J178" s="8"/>
      <c r="K178" s="308"/>
      <c r="L178" s="308"/>
      <c r="M178" s="308"/>
      <c r="N178" s="308"/>
      <c r="O178" s="8"/>
      <c r="P178" s="308"/>
      <c r="Q178" s="308"/>
      <c r="R178" s="308"/>
      <c r="S178" s="308"/>
      <c r="T178" s="8"/>
      <c r="U178" s="308"/>
      <c r="V178" s="308"/>
      <c r="W178" s="308"/>
      <c r="X178" s="309"/>
      <c r="Y178" s="8"/>
      <c r="Z178" s="309"/>
      <c r="AA178" s="309"/>
      <c r="AB178" s="309"/>
      <c r="AC178" s="309"/>
      <c r="AD178" s="8"/>
      <c r="AE178" s="8"/>
      <c r="AF178" s="8"/>
      <c r="AG178" s="8"/>
      <c r="AH178" s="8"/>
      <c r="AI178" s="8"/>
      <c r="AJ178" s="8"/>
      <c r="AK178" s="8"/>
    </row>
    <row r="179" ht="13.5" customHeight="1" spans="1:37" x14ac:dyDescent="0.25">
      <c r="A179" s="257"/>
      <c r="B179" s="8"/>
      <c r="C179" s="8" t="s">
        <v>366</v>
      </c>
      <c r="D179" s="8"/>
      <c r="E179" s="8"/>
      <c r="F179" s="348">
        <f>F165+F166-F170</f>
        <v>800.1000000000001</v>
      </c>
      <c r="G179" s="348">
        <f>G165+G166-G170</f>
        <v>737.6999999999998</v>
      </c>
      <c r="H179" s="348">
        <f>H165+H166-H170</f>
        <v>731.5</v>
      </c>
      <c r="I179" s="348">
        <f>I165+I166-I170</f>
        <v>454</v>
      </c>
      <c r="J179" s="275">
        <f>J165+J166-J170</f>
        <v>454</v>
      </c>
      <c r="K179" s="348">
        <f t="shared" ref="K179:AG179" si="56">K165+K166-K170</f>
        <v>685.2</v>
      </c>
      <c r="L179" s="348">
        <f t="shared" si="56"/>
        <v>632.2</v>
      </c>
      <c r="M179" s="348">
        <f t="shared" si="56"/>
        <v>719.8</v>
      </c>
      <c r="N179" s="348">
        <f t="shared" si="56"/>
        <v>574</v>
      </c>
      <c r="O179" s="275">
        <f t="shared" si="56"/>
        <v>574</v>
      </c>
      <c r="P179" s="348">
        <f t="shared" si="56"/>
        <v>802</v>
      </c>
      <c r="Q179" s="348">
        <f t="shared" si="56"/>
        <v>785</v>
      </c>
      <c r="R179" s="348">
        <f t="shared" si="56"/>
        <v>756</v>
      </c>
      <c r="S179" s="348">
        <f t="shared" si="56"/>
        <v>629</v>
      </c>
      <c r="T179" s="275">
        <f t="shared" si="56"/>
        <v>629</v>
      </c>
      <c r="U179" s="348">
        <f t="shared" si="56"/>
        <v>0</v>
      </c>
      <c r="V179" s="348">
        <f t="shared" si="56"/>
        <v>0</v>
      </c>
      <c r="W179" s="348">
        <f>W165+W166-W170</f>
        <v>0</v>
      </c>
      <c r="X179" s="274">
        <f>X165+X166-X170</f>
        <v>710.1161940020215</v>
      </c>
      <c r="Y179" s="275">
        <f t="shared" si="56"/>
        <v>710.1161940020215</v>
      </c>
      <c r="Z179" s="274">
        <f t="shared" si="56"/>
        <v>630.9048088578902</v>
      </c>
      <c r="AA179" s="274">
        <f t="shared" si="56"/>
        <v>621.4900209491759</v>
      </c>
      <c r="AB179" s="274">
        <f t="shared" si="56"/>
        <v>649.205593736956</v>
      </c>
      <c r="AC179" s="274">
        <f t="shared" si="56"/>
        <v>680.564845110956</v>
      </c>
      <c r="AD179" s="275">
        <f t="shared" si="56"/>
        <v>680.564845110956</v>
      </c>
      <c r="AE179" s="275">
        <f t="shared" si="56"/>
        <v>755.4443561109667</v>
      </c>
      <c r="AF179" s="275">
        <f t="shared" si="56"/>
        <v>768.9442685746067</v>
      </c>
      <c r="AG179" s="275">
        <f t="shared" si="56"/>
        <v>805.9299628711008</v>
      </c>
      <c r="AH179" s="8"/>
      <c r="AI179" s="8"/>
      <c r="AJ179" s="8"/>
      <c r="AK179" s="8"/>
    </row>
    <row r="180" ht="13.5" customHeight="1" spans="1:37" x14ac:dyDescent="0.25">
      <c r="A180" s="257"/>
      <c r="B180" s="8"/>
      <c r="C180" s="8"/>
      <c r="D180" s="8"/>
      <c r="E180" s="8"/>
      <c r="F180" s="429"/>
      <c r="G180" s="429"/>
      <c r="H180" s="429"/>
      <c r="I180" s="429"/>
      <c r="J180" s="8"/>
      <c r="K180" s="429"/>
      <c r="L180" s="429"/>
      <c r="M180" s="429"/>
      <c r="N180" s="429"/>
      <c r="O180" s="8"/>
      <c r="P180" s="429"/>
      <c r="Q180" s="429"/>
      <c r="R180" s="429"/>
      <c r="S180" s="429"/>
      <c r="T180" s="8"/>
      <c r="U180" s="429"/>
      <c r="V180" s="429"/>
      <c r="W180" s="429"/>
      <c r="X180" s="430"/>
      <c r="Y180" s="8"/>
      <c r="Z180" s="430"/>
      <c r="AA180" s="430"/>
      <c r="AB180" s="430"/>
      <c r="AC180" s="430"/>
      <c r="AD180" s="8"/>
      <c r="AE180" s="84"/>
      <c r="AF180" s="84"/>
      <c r="AG180" s="84"/>
      <c r="AH180" s="8"/>
      <c r="AI180" s="8"/>
      <c r="AJ180" s="8"/>
      <c r="AK180" s="8"/>
    </row>
    <row r="181" ht="13.5" customHeight="1" spans="1:37" x14ac:dyDescent="0.25">
      <c r="A181" s="257"/>
      <c r="B181" s="8"/>
      <c r="C181" s="427" t="s">
        <v>367</v>
      </c>
      <c r="D181" s="91"/>
      <c r="E181" s="91"/>
      <c r="F181" s="408">
        <f>-(F179-E179)</f>
        <v>-800.1000000000001</v>
      </c>
      <c r="G181" s="408">
        <f>-(G179-F179)</f>
        <v>62.40000000000032</v>
      </c>
      <c r="H181" s="408">
        <f>-(H179-G179)</f>
        <v>6.199999999999818</v>
      </c>
      <c r="I181" s="408">
        <f>-(I179-H179)</f>
        <v>277.5</v>
      </c>
      <c r="J181" s="409">
        <f>-(J179-E179)</f>
        <v>-454</v>
      </c>
      <c r="K181" s="408">
        <f>-(K179-J179)</f>
        <v>-231.20000000000005</v>
      </c>
      <c r="L181" s="408">
        <f>-(L179-K179)</f>
        <v>53</v>
      </c>
      <c r="M181" s="408">
        <f>-(M179-L179)</f>
        <v>-87.59999999999991</v>
      </c>
      <c r="N181" s="408">
        <f>-(N179-M179)</f>
        <v>145.79999999999995</v>
      </c>
      <c r="O181" s="409">
        <f>-(O179-J179)</f>
        <v>-120</v>
      </c>
      <c r="P181" s="408">
        <f>-(P179-O179)</f>
        <v>-228</v>
      </c>
      <c r="Q181" s="408">
        <f>-(Q179-P179)</f>
        <v>17</v>
      </c>
      <c r="R181" s="408">
        <f>-(R179-Q179)</f>
        <v>29</v>
      </c>
      <c r="S181" s="408">
        <f>-(S179-R179)</f>
        <v>127</v>
      </c>
      <c r="T181" s="409">
        <f>-(T179-O179)</f>
        <v>-55</v>
      </c>
      <c r="U181" s="408">
        <f>-(U179-T179)</f>
        <v>0</v>
      </c>
      <c r="V181" s="408">
        <f>-(V179-U179)</f>
        <v>0</v>
      </c>
      <c r="W181" s="408">
        <f>-(W179-V179)</f>
        <v>0</v>
      </c>
      <c r="X181" s="410">
        <f>-(X179-W179)</f>
        <v>-710.1161940020215</v>
      </c>
      <c r="Y181" s="409">
        <f>-(Y179-T179)</f>
        <v>-710.1161940020215</v>
      </c>
      <c r="Z181" s="410">
        <f>-(Z179-Y179)</f>
        <v>79.21138514413133</v>
      </c>
      <c r="AA181" s="410">
        <f>-(AA179-Z179)</f>
        <v>9.414787908714288</v>
      </c>
      <c r="AB181" s="410">
        <f>-(AB179-AA179)</f>
        <v>-27.715572787780047</v>
      </c>
      <c r="AC181" s="410">
        <f>-(AC179-AB179)</f>
        <v>-31.359251373999996</v>
      </c>
      <c r="AD181" s="409">
        <f>-(AD179-Y179)</f>
        <v>29.551348891065572</v>
      </c>
      <c r="AE181" s="409">
        <f>-(AE179-AD179)</f>
        <v>-74.87951100001078</v>
      </c>
      <c r="AF181" s="409">
        <f>-(AF179-AE179)</f>
        <v>-13.49991246363993</v>
      </c>
      <c r="AG181" s="428">
        <f>-(AG179-AF179)</f>
        <v>-36.9856942964941</v>
      </c>
      <c r="AH181" s="8"/>
      <c r="AI181" s="8"/>
      <c r="AJ181" s="8"/>
      <c r="AK181" s="8"/>
    </row>
    <row r="182" ht="13.5" customHeight="1" spans="1:37" x14ac:dyDescent="0.25">
      <c r="A182" s="257"/>
      <c r="B182" s="8"/>
      <c r="C182" s="8"/>
      <c r="D182" s="8"/>
      <c r="E182" s="8"/>
      <c r="F182" s="308"/>
      <c r="G182" s="308"/>
      <c r="H182" s="308"/>
      <c r="I182" s="308"/>
      <c r="J182" s="8"/>
      <c r="K182" s="308"/>
      <c r="L182" s="308"/>
      <c r="M182" s="308"/>
      <c r="N182" s="308"/>
      <c r="O182" s="8"/>
      <c r="P182" s="308"/>
      <c r="Q182" s="308"/>
      <c r="R182" s="308"/>
      <c r="S182" s="308"/>
      <c r="T182" s="8"/>
      <c r="U182" s="308"/>
      <c r="V182" s="308"/>
      <c r="W182" s="308"/>
      <c r="X182" s="309"/>
      <c r="Y182" s="8"/>
      <c r="Z182" s="309"/>
      <c r="AA182" s="309"/>
      <c r="AB182" s="309"/>
      <c r="AC182" s="309"/>
      <c r="AD182" s="8"/>
      <c r="AE182" s="8"/>
      <c r="AF182" s="8"/>
      <c r="AG182" s="8"/>
      <c r="AH182" s="8"/>
      <c r="AI182" s="8"/>
      <c r="AJ182" s="8"/>
      <c r="AK182" s="8"/>
    </row>
    <row r="183" ht="13.5" customHeight="1" spans="1:37" x14ac:dyDescent="0.25">
      <c r="A183" s="257" t="s">
        <v>3</v>
      </c>
      <c r="B183" s="8"/>
      <c r="C183" s="36" t="s">
        <v>43</v>
      </c>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416"/>
      <c r="AH183" s="257" t="s">
        <v>3</v>
      </c>
      <c r="AI183" s="8"/>
      <c r="AJ183" s="8"/>
      <c r="AK183" s="8"/>
    </row>
    <row r="184" ht="13.5" customHeight="1" spans="1:37" x14ac:dyDescent="0.25">
      <c r="A184" s="257"/>
      <c r="B184" s="8"/>
      <c r="C184" s="8"/>
      <c r="D184" s="8"/>
      <c r="E184" s="8"/>
      <c r="F184" s="308"/>
      <c r="G184" s="308"/>
      <c r="H184" s="308"/>
      <c r="I184" s="308"/>
      <c r="J184" s="8"/>
      <c r="K184" s="308"/>
      <c r="L184" s="308"/>
      <c r="M184" s="308"/>
      <c r="N184" s="308"/>
      <c r="O184" s="8"/>
      <c r="P184" s="308"/>
      <c r="Q184" s="308"/>
      <c r="R184" s="308"/>
      <c r="S184" s="308"/>
      <c r="T184" s="8"/>
      <c r="U184" s="308"/>
      <c r="V184" s="308"/>
      <c r="W184" s="308"/>
      <c r="X184" s="309"/>
      <c r="Y184" s="8"/>
      <c r="Z184" s="309"/>
      <c r="AA184" s="309"/>
      <c r="AB184" s="309"/>
      <c r="AC184" s="309"/>
      <c r="AD184" s="8"/>
      <c r="AE184" s="8"/>
      <c r="AF184" s="8"/>
      <c r="AG184" s="8"/>
      <c r="AH184" s="8"/>
      <c r="AI184" s="8"/>
      <c r="AJ184" s="8"/>
      <c r="AK184" s="8"/>
    </row>
    <row r="185" ht="13.5" customHeight="1" spans="1:37" x14ac:dyDescent="0.25">
      <c r="A185" s="257"/>
      <c r="B185" s="8"/>
      <c r="C185" s="8" t="s">
        <v>368</v>
      </c>
      <c r="D185" s="8"/>
      <c r="E185" s="8"/>
      <c r="F185" s="399">
        <f>AVERAGE(D165,F165)/F$28*F$26</f>
        <v>0</v>
      </c>
      <c r="G185" s="401">
        <f>AVERAGE(F165:G165)/G$28*G$26</f>
        <v>0</v>
      </c>
      <c r="H185" s="401">
        <f>AVERAGE(G165:H165)/H$28*H$26</f>
        <v>0</v>
      </c>
      <c r="I185" s="401">
        <f>AVERAGE(H165:I165)/I$28*I$26</f>
        <v>0</v>
      </c>
      <c r="J185" s="153">
        <f>AVERAGE(E165,J165)/J$28*J$26</f>
        <v>0</v>
      </c>
      <c r="K185" s="399">
        <f>AVERAGE(I165,K165)/K$28*K$26</f>
        <v>0</v>
      </c>
      <c r="L185" s="401">
        <f>AVERAGE(K165:L165)/L$28*L$26</f>
        <v>0</v>
      </c>
      <c r="M185" s="401">
        <f>AVERAGE(L165:M165)/M$28*M$26</f>
        <v>0</v>
      </c>
      <c r="N185" s="401">
        <f>AVERAGE(M165:N165)/N$28*N$26</f>
        <v>0</v>
      </c>
      <c r="O185" s="153">
        <f>AVERAGE(J165,O165)/O$28*O$26</f>
        <v>0</v>
      </c>
      <c r="P185" s="399">
        <f>AVERAGE(N165,P165)/P$28*P$26</f>
        <v>0</v>
      </c>
      <c r="Q185" s="401">
        <f>AVERAGE(P165:Q165)/Q$28*Q$26</f>
        <v>0</v>
      </c>
      <c r="R185" s="401">
        <f>AVERAGE(Q165:R165)/R$28*R$26</f>
        <v>0</v>
      </c>
      <c r="S185" s="401">
        <f>AVERAGE(R165:S165)/S$28*S$26</f>
        <v>0</v>
      </c>
      <c r="T185" s="153">
        <f>AVERAGE(O165,T165)/T$28*T$26</f>
        <v>0</v>
      </c>
      <c r="U185" s="399">
        <f>AVERAGE(S165,U165)/U$28*U$26</f>
        <v>0</v>
      </c>
      <c r="V185" s="401">
        <f>AVERAGE(U165:V165)/V$28*V$26</f>
        <v>0</v>
      </c>
      <c r="W185" s="401">
        <f>AVERAGE(V165:W165)/W$28*W$26</f>
        <v>0</v>
      </c>
      <c r="X185" s="369">
        <f>Drivers!X113</f>
        <v>41.8</v>
      </c>
      <c r="Y185" s="153">
        <f>AVERAGE(T165,Y165)/Y$28*Y$26</f>
        <v>21.228705529463138</v>
      </c>
      <c r="Z185" s="369">
        <f>Drivers!Z113</f>
        <v>41.2</v>
      </c>
      <c r="AA185" s="369">
        <f>Drivers!AA113</f>
        <v>40.2</v>
      </c>
      <c r="AB185" s="369">
        <f>Drivers!AB113</f>
        <v>40.8</v>
      </c>
      <c r="AC185" s="369">
        <f>Drivers!AC113</f>
        <v>41.3</v>
      </c>
      <c r="AD185" s="153">
        <f>AVERAGE(Y165,AD165)/AD$28*AD$26</f>
        <v>41.02031067985213</v>
      </c>
      <c r="AE185" s="370">
        <f>Drivers!AE113</f>
        <v>41.6</v>
      </c>
      <c r="AF185" s="370">
        <f>Drivers!AF113</f>
        <v>41</v>
      </c>
      <c r="AG185" s="370">
        <f>Drivers!AG113</f>
        <v>41</v>
      </c>
      <c r="AH185" s="8"/>
      <c r="AI185" s="8"/>
      <c r="AJ185" s="8"/>
      <c r="AK185" s="8"/>
    </row>
    <row r="186" ht="13.5" customHeight="1" spans="1:37" x14ac:dyDescent="0.25">
      <c r="A186" s="257"/>
      <c r="B186" s="8"/>
      <c r="C186" s="8" t="s">
        <v>369</v>
      </c>
      <c r="D186" s="8"/>
      <c r="E186" s="8"/>
      <c r="F186" s="399" t="e">
        <f>AVERAGE(D166,F166)/-F$29*F$26</f>
        <v>#DIV/0!</v>
      </c>
      <c r="G186" s="401" t="e">
        <f>AVERAGE(F166:G166)/-G$29*G$26</f>
        <v>#DIV/0!</v>
      </c>
      <c r="H186" s="401" t="e">
        <f>AVERAGE(G166:H166)/-H$29*H$26</f>
        <v>#DIV/0!</v>
      </c>
      <c r="I186" s="401" t="e">
        <f>AVERAGE(H166:I166)/-I$29*I$26</f>
        <v>#DIV/0!</v>
      </c>
      <c r="J186" s="153" t="e">
        <f>AVERAGE(E166,J166)/-J$29*J$26</f>
        <v>#DIV/0!</v>
      </c>
      <c r="K186" s="399" t="e">
        <f>AVERAGE(I166,K166)/-K$29*K$26</f>
        <v>#DIV/0!</v>
      </c>
      <c r="L186" s="401" t="e">
        <f>AVERAGE(K166:L166)/-L$29*L$26</f>
        <v>#DIV/0!</v>
      </c>
      <c r="M186" s="401" t="e">
        <f>AVERAGE(L166:M166)/-M$29*M$26</f>
        <v>#DIV/0!</v>
      </c>
      <c r="N186" s="401" t="e">
        <f>AVERAGE(M166:N166)/-N$29*N$26</f>
        <v>#DIV/0!</v>
      </c>
      <c r="O186" s="153" t="e">
        <f>AVERAGE(J166,O166)/-O$29*O$26</f>
        <v>#DIV/0!</v>
      </c>
      <c r="P186" s="399" t="e">
        <f>AVERAGE(N166,P166)/-P$29*P$26</f>
        <v>#DIV/0!</v>
      </c>
      <c r="Q186" s="401" t="e">
        <f>AVERAGE(P166:Q166)/-Q$29*Q$26</f>
        <v>#DIV/0!</v>
      </c>
      <c r="R186" s="401" t="e">
        <f>AVERAGE(Q166:R166)/-R$29*R$26</f>
        <v>#DIV/0!</v>
      </c>
      <c r="S186" s="401" t="e">
        <f>AVERAGE(R166:S166)/-S$29*S$26</f>
        <v>#DIV/0!</v>
      </c>
      <c r="T186" s="153" t="e">
        <f>AVERAGE(O166,T166)/-T$29*T$26</f>
        <v>#DIV/0!</v>
      </c>
      <c r="U186" s="399" t="e">
        <f>AVERAGE(S166,U166)/-U$29*U$26</f>
        <v>#DIV/0!</v>
      </c>
      <c r="V186" s="401" t="e">
        <f>AVERAGE(U166:V166)/-V$29*V$26</f>
        <v>#DIV/0!</v>
      </c>
      <c r="W186" s="401" t="e">
        <f>AVERAGE(V166:W166)/-W$29*W$26</f>
        <v>#DIV/0!</v>
      </c>
      <c r="X186" s="369">
        <f>Drivers!X118</f>
        <v>0</v>
      </c>
      <c r="Y186" s="153">
        <f>AVERAGE(T166,Y166)/-Y$29*Y$26</f>
        <v>0</v>
      </c>
      <c r="Z186" s="369">
        <f>Drivers!Z118</f>
        <v>0</v>
      </c>
      <c r="AA186" s="369">
        <f>Drivers!AA118</f>
        <v>0</v>
      </c>
      <c r="AB186" s="369">
        <f>Drivers!AB118</f>
        <v>0</v>
      </c>
      <c r="AC186" s="369">
        <f>Drivers!AC118</f>
        <v>0</v>
      </c>
      <c r="AD186" s="153">
        <f>AVERAGE(Y166,AD166)/-AD$29*AD$26</f>
        <v>0</v>
      </c>
      <c r="AE186" s="370">
        <f>Drivers!AE118</f>
        <v>0</v>
      </c>
      <c r="AF186" s="370">
        <f>Drivers!AF118</f>
        <v>0</v>
      </c>
      <c r="AG186" s="370">
        <f>Drivers!AG118</f>
        <v>0</v>
      </c>
      <c r="AH186" s="8"/>
      <c r="AI186" s="8"/>
      <c r="AJ186" s="8"/>
      <c r="AK186" s="8"/>
    </row>
    <row r="187" ht="13.5" customHeight="1" spans="1:37" x14ac:dyDescent="0.25">
      <c r="A187" s="257"/>
      <c r="B187" s="8"/>
      <c r="C187" s="8" t="s">
        <v>370</v>
      </c>
      <c r="D187" s="8"/>
      <c r="E187" s="8"/>
      <c r="F187" s="399" t="e">
        <f>AVERAGE(D170,F170)/-F$29*F$26</f>
        <v>#DIV/0!</v>
      </c>
      <c r="G187" s="401" t="e">
        <f>AVERAGE(F170:G170)/-G$29*G$26</f>
        <v>#DIV/0!</v>
      </c>
      <c r="H187" s="401" t="e">
        <f>AVERAGE(G170:H170)/-H$29*H$26</f>
        <v>#DIV/0!</v>
      </c>
      <c r="I187" s="401" t="e">
        <f>AVERAGE(H170:I170)/-I$29*I$26</f>
        <v>#DIV/0!</v>
      </c>
      <c r="J187" s="153" t="e">
        <f>AVERAGE(E170,J170)/-J$29*J$26</f>
        <v>#DIV/0!</v>
      </c>
      <c r="K187" s="399" t="e">
        <f>AVERAGE(I170,K170)/-K$29*K$26</f>
        <v>#DIV/0!</v>
      </c>
      <c r="L187" s="401" t="e">
        <f>AVERAGE(K170:L170)/-L$29*L$26</f>
        <v>#DIV/0!</v>
      </c>
      <c r="M187" s="401" t="e">
        <f>AVERAGE(L170:M170)/-M$29*M$26</f>
        <v>#DIV/0!</v>
      </c>
      <c r="N187" s="401" t="e">
        <f>AVERAGE(M170:N170)/-N$29*N$26</f>
        <v>#DIV/0!</v>
      </c>
      <c r="O187" s="153" t="e">
        <f>AVERAGE(J170,O170)/-O$29*O$26</f>
        <v>#DIV/0!</v>
      </c>
      <c r="P187" s="399" t="e">
        <f>AVERAGE(N170,P170)/-P$29*P$26</f>
        <v>#DIV/0!</v>
      </c>
      <c r="Q187" s="401" t="e">
        <f>AVERAGE(P170:Q170)/-Q$29*Q$26</f>
        <v>#DIV/0!</v>
      </c>
      <c r="R187" s="401" t="e">
        <f>AVERAGE(Q170:R170)/-R$29*R$26</f>
        <v>#DIV/0!</v>
      </c>
      <c r="S187" s="401" t="e">
        <f>AVERAGE(R170:S170)/-S$29*S$26</f>
        <v>#DIV/0!</v>
      </c>
      <c r="T187" s="153" t="e">
        <f>AVERAGE(O170,T170)/-T$29*T$26</f>
        <v>#DIV/0!</v>
      </c>
      <c r="U187" s="399" t="e">
        <f>AVERAGE(S170,U170)/-U$29*U$26</f>
        <v>#DIV/0!</v>
      </c>
      <c r="V187" s="401" t="e">
        <f>AVERAGE(U170:V170)/-V$29*V$26</f>
        <v>#DIV/0!</v>
      </c>
      <c r="W187" s="401" t="e">
        <f>AVERAGE(V170:W170)/-W$29*W$26</f>
        <v>#DIV/0!</v>
      </c>
      <c r="X187" s="369">
        <f>Drivers!X135</f>
        <v>47</v>
      </c>
      <c r="Y187" s="153">
        <f>AVERAGE(T170,Y170)/-Y$29*Y$26</f>
        <v>93.2336956521739</v>
      </c>
      <c r="Z187" s="369">
        <f>Drivers!Z135</f>
        <v>49</v>
      </c>
      <c r="AA187" s="369">
        <f>Drivers!AA135</f>
        <v>48.5</v>
      </c>
      <c r="AB187" s="369">
        <f>Drivers!AB135</f>
        <v>48.5</v>
      </c>
      <c r="AC187" s="369">
        <f>Drivers!AC135</f>
        <v>48</v>
      </c>
      <c r="AD187" s="153">
        <f>AVERAGE(Y170,AD170)/-AD$29*AD$26</f>
        <v>46.99992364313107</v>
      </c>
      <c r="AE187" s="370">
        <f>Drivers!AE135</f>
        <v>47.5</v>
      </c>
      <c r="AF187" s="370">
        <f>Drivers!AF135</f>
        <v>47</v>
      </c>
      <c r="AG187" s="370">
        <f>Drivers!AG135</f>
        <v>47</v>
      </c>
      <c r="AH187" s="8"/>
      <c r="AI187" s="8"/>
      <c r="AJ187" s="8"/>
      <c r="AK187" s="8"/>
    </row>
    <row r="188" ht="13.5" customHeight="1" spans="1:37" x14ac:dyDescent="0.25">
      <c r="A188" s="257"/>
      <c r="B188" s="8"/>
      <c r="C188" s="8" t="s">
        <v>128</v>
      </c>
      <c r="D188" s="8"/>
      <c r="E188" s="8"/>
      <c r="F188" s="399">
        <f>SUM(F185:F186)-F187</f>
        <v>0</v>
      </c>
      <c r="G188" s="401">
        <f>SUM(G185:G186)-G187</f>
        <v>0</v>
      </c>
      <c r="H188" s="401">
        <f>SUM(H185:H186)-H187</f>
        <v>0</v>
      </c>
      <c r="I188" s="401">
        <f>SUM(I185:I186)-I187</f>
        <v>0</v>
      </c>
      <c r="J188" s="153">
        <f>SUM(J185:J186)-J187</f>
        <v>0</v>
      </c>
      <c r="K188" s="399">
        <f t="shared" ref="K188:AG188" si="57">SUM(K185:K186)-K187</f>
        <v>0</v>
      </c>
      <c r="L188" s="401">
        <f t="shared" si="57"/>
        <v>0</v>
      </c>
      <c r="M188" s="401">
        <f t="shared" si="57"/>
        <v>0</v>
      </c>
      <c r="N188" s="401">
        <f t="shared" si="57"/>
        <v>0</v>
      </c>
      <c r="O188" s="153">
        <f t="shared" si="57"/>
        <v>0</v>
      </c>
      <c r="P188" s="399">
        <f t="shared" si="57"/>
        <v>0</v>
      </c>
      <c r="Q188" s="401">
        <f t="shared" si="57"/>
        <v>0</v>
      </c>
      <c r="R188" s="401">
        <f t="shared" si="57"/>
        <v>0</v>
      </c>
      <c r="S188" s="401">
        <f t="shared" si="57"/>
        <v>0</v>
      </c>
      <c r="T188" s="153">
        <f t="shared" si="57"/>
        <v>0</v>
      </c>
      <c r="U188" s="399" t="e">
        <f t="shared" si="57"/>
        <v>#DIV/0!</v>
      </c>
      <c r="V188" s="401" t="e">
        <f t="shared" si="57"/>
        <v>#DIV/0!</v>
      </c>
      <c r="W188" s="401" t="e">
        <f>SUM(W185:W186)-W187</f>
        <v>#DIV/0!</v>
      </c>
      <c r="X188" s="358">
        <f t="shared" si="57"/>
        <v>-5.200000000000003</v>
      </c>
      <c r="Y188" s="153">
        <f t="shared" si="57"/>
        <v>-72.00499012271077</v>
      </c>
      <c r="Z188" s="358">
        <f t="shared" si="57"/>
        <v>-7.799999999999997</v>
      </c>
      <c r="AA188" s="358">
        <f t="shared" si="57"/>
        <v>-8.299999999999997</v>
      </c>
      <c r="AB188" s="358">
        <f t="shared" si="57"/>
        <v>-7.700000000000003</v>
      </c>
      <c r="AC188" s="358">
        <f t="shared" si="57"/>
        <v>-6.700000000000003</v>
      </c>
      <c r="AD188" s="153">
        <f t="shared" si="57"/>
        <v>-5.979612963278939</v>
      </c>
      <c r="AE188" s="153">
        <f t="shared" si="57"/>
        <v>-5.899999999999999</v>
      </c>
      <c r="AF188" s="153">
        <f t="shared" si="57"/>
        <v>-6</v>
      </c>
      <c r="AG188" s="153">
        <f t="shared" si="57"/>
        <v>-6</v>
      </c>
      <c r="AH188" s="8"/>
      <c r="AI188" s="8"/>
      <c r="AJ188" s="8"/>
      <c r="AK188" s="8"/>
    </row>
    <row r="189" ht="13.5" customHeight="1" spans="1:37" x14ac:dyDescent="0.25">
      <c r="A189" s="257"/>
      <c r="B189" s="8"/>
      <c r="C189" s="130" t="s">
        <v>371</v>
      </c>
      <c r="D189" s="8"/>
      <c r="E189" s="8"/>
      <c r="F189" s="431">
        <f>F167/(4*F28)</f>
        <v>0.01958550347222222</v>
      </c>
      <c r="G189" s="431">
        <f>G167/(4*G28)</f>
        <v>0.014115795806914426</v>
      </c>
      <c r="H189" s="431">
        <f>H167/(4*H28)</f>
        <v>0.014793167504870641</v>
      </c>
      <c r="I189" s="431">
        <f>I167/(4*I28)</f>
        <v>0.021324750358255803</v>
      </c>
      <c r="J189" s="206">
        <f>J167/(J28)</f>
        <v>0.021702519228432037</v>
      </c>
      <c r="K189" s="431">
        <f>K167/(4*K28)</f>
        <v>0.017864383870241043</v>
      </c>
      <c r="L189" s="431">
        <f>L167/(4*L28)</f>
        <v>0.013457001930087927</v>
      </c>
      <c r="M189" s="431">
        <f>M167/(4*M28)</f>
        <v>0.017104700854700856</v>
      </c>
      <c r="N189" s="431">
        <f>N167/(4*N28)</f>
        <v>0.0222809667673716</v>
      </c>
      <c r="O189" s="206">
        <f>O167/(O28)</f>
        <v>0.022426151172893136</v>
      </c>
      <c r="P189" s="431">
        <f>P167/(4*P28)</f>
        <v>0.01534944480731548</v>
      </c>
      <c r="Q189" s="431">
        <f>Q167/(4*Q28)</f>
        <v>0.015874641540352313</v>
      </c>
      <c r="R189" s="431">
        <f>R167/(4*R28)</f>
        <v>0.02056142531593122</v>
      </c>
      <c r="S189" s="431">
        <f>S167/(4*S28)</f>
        <v>0.0234821239686905</v>
      </c>
      <c r="T189" s="206">
        <f>T167/(T28)</f>
        <v>0.0233328078196437</v>
      </c>
      <c r="U189" s="431">
        <f>U167/(4*U28)</f>
        <v>0</v>
      </c>
      <c r="V189" s="431">
        <f>V167/(4*V28)</f>
        <v>0</v>
      </c>
      <c r="W189" s="431">
        <f>W167/(4*W28)</f>
        <v>0</v>
      </c>
      <c r="X189" s="432">
        <f>Drivers!X123</f>
        <v>0.026</v>
      </c>
      <c r="Y189" s="206">
        <f>Y167/(Y28)</f>
        <v>0.026625975552979395</v>
      </c>
      <c r="Z189" s="432">
        <f>Drivers!Z123</f>
        <v>0.022</v>
      </c>
      <c r="AA189" s="432">
        <f>Drivers!AA123</f>
        <v>0.022</v>
      </c>
      <c r="AB189" s="432">
        <f>Drivers!AB123</f>
        <v>0.022</v>
      </c>
      <c r="AC189" s="432">
        <f>Drivers!AC123</f>
        <v>0.022</v>
      </c>
      <c r="AD189" s="206">
        <f>AD167/(AD28)</f>
        <v>0.02205125911869867</v>
      </c>
      <c r="AE189" s="433">
        <f>Drivers!AE123</f>
        <v>0.022</v>
      </c>
      <c r="AF189" s="433">
        <f>Drivers!AF123</f>
        <v>0.022</v>
      </c>
      <c r="AG189" s="433">
        <f>Drivers!AG123</f>
        <v>0.022</v>
      </c>
      <c r="AH189" s="8"/>
      <c r="AI189" s="8"/>
      <c r="AJ189" s="8"/>
      <c r="AK189" s="8"/>
    </row>
    <row r="190" ht="13.5" customHeight="1" spans="1:37" x14ac:dyDescent="0.25">
      <c r="A190" s="257"/>
      <c r="B190" s="8"/>
      <c r="C190" s="8" t="s">
        <v>372</v>
      </c>
      <c r="D190" s="8"/>
      <c r="E190" s="8"/>
      <c r="F190" s="431">
        <f>F171/(4*-F29)</f>
        <v>0.024452638856879465</v>
      </c>
      <c r="G190" s="431">
        <f>G171/(4*-G29)</f>
        <v>0.02976083438230534</v>
      </c>
      <c r="H190" s="431">
        <f>H171/(4*-H29)</f>
        <v>0.010714442061025259</v>
      </c>
      <c r="I190" s="431">
        <f>I171/(4*-I29)</f>
        <v>0.00023178807947019868</v>
      </c>
      <c r="J190" s="206">
        <f>J171/(-J29)</f>
        <v>0.000234815278647464</v>
      </c>
      <c r="K190" s="431">
        <f>K171/(4*-K29)</f>
        <v>0.024693385895751204</v>
      </c>
      <c r="L190" s="431">
        <f>L171/(4*-L29)</f>
        <v>0.004385228703315149</v>
      </c>
      <c r="M190" s="431">
        <f>M171/(4*-M29)</f>
        <v>0.0024503591043514997</v>
      </c>
      <c r="N190" s="431">
        <f>N171/(4*-N29)</f>
        <v>0.03657747086750108</v>
      </c>
      <c r="O190" s="206">
        <f>O171/(-O29)</f>
        <v>0.03625668449197861</v>
      </c>
      <c r="P190" s="431">
        <f>P171/(4*-P29)</f>
        <v>0.027225583405358685</v>
      </c>
      <c r="Q190" s="431">
        <f>Q171/(4*-Q29)</f>
        <v>0.03042057982850143</v>
      </c>
      <c r="R190" s="431">
        <f>R171/(4*-R29)</f>
        <v>0.033901745838408444</v>
      </c>
      <c r="S190" s="431">
        <f>S171/(4*-S29)</f>
        <v>0.03254991680532446</v>
      </c>
      <c r="T190" s="206">
        <f>T171/(-T29)</f>
        <v>0.032502596053997926</v>
      </c>
      <c r="U190" s="431" t="e">
        <f>U171/(4*-U29)</f>
        <v>#DIV/0!</v>
      </c>
      <c r="V190" s="431" t="e">
        <f>V171/(4*-V29)</f>
        <v>#DIV/0!</v>
      </c>
      <c r="W190" s="431" t="e">
        <f>W171/(4*-W29)</f>
        <v>#DIV/0!</v>
      </c>
      <c r="X190" s="432">
        <f>Drivers!X140</f>
        <v>0.015</v>
      </c>
      <c r="Y190" s="206">
        <f>Y171/(-Y29)</f>
        <v>0.060000000000000005</v>
      </c>
      <c r="Z190" s="432">
        <f>Drivers!Z140</f>
        <v>0.014</v>
      </c>
      <c r="AA190" s="432">
        <f>Drivers!AA140</f>
        <v>0.014</v>
      </c>
      <c r="AB190" s="432">
        <f>Drivers!AB140</f>
        <v>0.014</v>
      </c>
      <c r="AC190" s="432">
        <f>Drivers!AC140</f>
        <v>0.014</v>
      </c>
      <c r="AD190" s="206">
        <f>AD171/(-AD29)</f>
        <v>0.014013913955035907</v>
      </c>
      <c r="AE190" s="433">
        <f>Drivers!AE140</f>
        <v>0.014</v>
      </c>
      <c r="AF190" s="433">
        <f>Drivers!AF140</f>
        <v>0.014</v>
      </c>
      <c r="AG190" s="433">
        <f>Drivers!AG140</f>
        <v>0.014</v>
      </c>
      <c r="AH190" s="8"/>
      <c r="AI190" s="8"/>
      <c r="AJ190" s="8"/>
      <c r="AK190" s="8"/>
    </row>
    <row r="191" ht="13.5" customHeight="1" spans="1:37" x14ac:dyDescent="0.25">
      <c r="A191" s="257"/>
      <c r="B191" s="8"/>
      <c r="C191" s="8" t="s">
        <v>373</v>
      </c>
      <c r="D191" s="8"/>
      <c r="E191" s="8"/>
      <c r="F191" s="431">
        <f>F172/(4*-F29)</f>
        <v>0.05382576630560037</v>
      </c>
      <c r="G191" s="431">
        <f>G172/(4*-G29)</f>
        <v>0.05253101960079122</v>
      </c>
      <c r="H191" s="431">
        <f>H172/(4*-H29)</f>
        <v>0.05305782953202293</v>
      </c>
      <c r="I191" s="431">
        <f>I172/(4*-I29)</f>
        <v>0.07910596026490067</v>
      </c>
      <c r="J191" s="206">
        <f>J172/(-J29)</f>
        <v>0.08013910009839878</v>
      </c>
      <c r="K191" s="431">
        <f>K172/(4*-K29)</f>
        <v>0.05170827858081472</v>
      </c>
      <c r="L191" s="431">
        <f>L172/(4*-L29)</f>
        <v>0.049569869911875786</v>
      </c>
      <c r="M191" s="431">
        <f>M172/(4*-M29)</f>
        <v>0.0512779890156316</v>
      </c>
      <c r="N191" s="431">
        <f>N172/(4*-N29)</f>
        <v>0.07865774708675011</v>
      </c>
      <c r="O191" s="206">
        <f>O172/(-O29)</f>
        <v>0.07796791443850268</v>
      </c>
      <c r="P191" s="431">
        <f>P172/(4*-P29)</f>
        <v>0.05445116681071737</v>
      </c>
      <c r="Q191" s="431">
        <f>Q172/(4*-Q29)</f>
        <v>0.0500204164965292</v>
      </c>
      <c r="R191" s="431">
        <f>R172/(4*-R29)</f>
        <v>0.05115712545676005</v>
      </c>
      <c r="S191" s="431">
        <f>S172/(4*-S29)</f>
        <v>0.07497920133111481</v>
      </c>
      <c r="T191" s="206">
        <f>T172/(-T29)</f>
        <v>0.07487019730010384</v>
      </c>
      <c r="U191" s="431" t="e">
        <f>U172/(4*-U29)</f>
        <v>#DIV/0!</v>
      </c>
      <c r="V191" s="431" t="e">
        <f>V172/(4*-V29)</f>
        <v>#DIV/0!</v>
      </c>
      <c r="W191" s="431" t="e">
        <f>W172/(4*-W29)</f>
        <v>#DIV/0!</v>
      </c>
      <c r="X191" s="432">
        <f>Drivers!X145</f>
        <v>0.275</v>
      </c>
      <c r="Y191" s="206">
        <f>Y172/(-Y29)</f>
        <v>1.1</v>
      </c>
      <c r="Z191" s="432">
        <f>Drivers!Z145</f>
        <v>0.28</v>
      </c>
      <c r="AA191" s="432">
        <f>Drivers!AA145</f>
        <v>0.28</v>
      </c>
      <c r="AB191" s="432">
        <f>Drivers!AB145</f>
        <v>0.28</v>
      </c>
      <c r="AC191" s="432">
        <f>Drivers!AC145</f>
        <v>0.28</v>
      </c>
      <c r="AD191" s="206">
        <f>AD172/(-AD29)</f>
        <v>0.2802782791007181</v>
      </c>
      <c r="AE191" s="433">
        <f>Drivers!AE145</f>
        <v>0.28</v>
      </c>
      <c r="AF191" s="433">
        <f>Drivers!AF145</f>
        <v>0.28</v>
      </c>
      <c r="AG191" s="433">
        <f>Drivers!AG145</f>
        <v>0.28</v>
      </c>
      <c r="AH191" s="8"/>
      <c r="AI191" s="8"/>
      <c r="AJ191" s="8"/>
      <c r="AK191" s="8"/>
    </row>
    <row r="192" ht="13.5" customHeight="1" spans="1:37" x14ac:dyDescent="0.25">
      <c r="A192" s="257"/>
      <c r="B192" s="8"/>
      <c r="C192" s="8"/>
      <c r="D192" s="8"/>
      <c r="E192" s="8"/>
      <c r="F192" s="308"/>
      <c r="G192" s="308"/>
      <c r="H192" s="308"/>
      <c r="I192" s="308"/>
      <c r="J192" s="8"/>
      <c r="K192" s="308"/>
      <c r="L192" s="308"/>
      <c r="M192" s="308"/>
      <c r="N192" s="308"/>
      <c r="O192" s="8"/>
      <c r="P192" s="308"/>
      <c r="Q192" s="308"/>
      <c r="R192" s="308"/>
      <c r="S192" s="308"/>
      <c r="T192" s="8"/>
      <c r="U192" s="308"/>
      <c r="V192" s="308"/>
      <c r="W192" s="308"/>
      <c r="X192" s="309"/>
      <c r="Y192" s="8"/>
      <c r="Z192" s="309"/>
      <c r="AA192" s="309"/>
      <c r="AB192" s="309"/>
      <c r="AC192" s="309"/>
      <c r="AD192" s="8"/>
      <c r="AE192" s="8"/>
      <c r="AF192" s="8"/>
      <c r="AG192" s="8"/>
      <c r="AH192" s="8"/>
      <c r="AI192" s="8"/>
      <c r="AJ192" s="8"/>
      <c r="AK192" s="8"/>
    </row>
    <row r="193" ht="13.5" customHeight="1" spans="1:37" x14ac:dyDescent="0.25">
      <c r="A193" s="257" t="s">
        <v>3</v>
      </c>
      <c r="B193" s="40"/>
      <c r="C193" s="53" t="s">
        <v>374</v>
      </c>
      <c r="D193" s="11"/>
      <c r="E193" s="11"/>
      <c r="F193" s="54">
        <f t="shared" ref="F193:AG193" si="58">F$65</f>
        <v>0</v>
      </c>
      <c r="G193" s="54">
        <f t="shared" si="58"/>
        <v>0</v>
      </c>
      <c r="H193" s="54">
        <f t="shared" si="58"/>
        <v>0</v>
      </c>
      <c r="I193" s="54">
        <f t="shared" si="58"/>
        <v>0</v>
      </c>
      <c r="J193" s="54">
        <f t="shared" si="58"/>
        <v>2023</v>
      </c>
      <c r="K193" s="54">
        <f t="shared" si="58"/>
        <v>0</v>
      </c>
      <c r="L193" s="54">
        <f t="shared" si="58"/>
        <v>0</v>
      </c>
      <c r="M193" s="54">
        <f t="shared" si="58"/>
        <v>0</v>
      </c>
      <c r="N193" s="54">
        <f t="shared" si="58"/>
        <v>0</v>
      </c>
      <c r="O193" s="54">
        <f t="shared" si="58"/>
        <v>2024</v>
      </c>
      <c r="P193" s="54">
        <f t="shared" si="58"/>
        <v>0</v>
      </c>
      <c r="Q193" s="54">
        <f t="shared" si="58"/>
        <v>0</v>
      </c>
      <c r="R193" s="54">
        <f t="shared" si="58"/>
        <v>0</v>
      </c>
      <c r="S193" s="54">
        <f t="shared" si="58"/>
        <v>0</v>
      </c>
      <c r="T193" s="54">
        <f t="shared" si="58"/>
        <v>2025</v>
      </c>
      <c r="U193" s="54" t="str">
        <f t="shared" si="58"/>
        <v>1Q26e</v>
      </c>
      <c r="V193" s="54" t="str">
        <f t="shared" si="58"/>
        <v>2Q26e</v>
      </c>
      <c r="W193" s="54" t="str">
        <f t="shared" si="58"/>
        <v>3Q26</v>
      </c>
      <c r="X193" s="54" t="str">
        <f t="shared" si="58"/>
        <v>4Q26e</v>
      </c>
      <c r="Y193" s="54" t="str">
        <f t="shared" si="58"/>
        <v>2026e</v>
      </c>
      <c r="Z193" s="54" t="str">
        <f t="shared" si="58"/>
        <v>1Q27e</v>
      </c>
      <c r="AA193" s="54" t="str">
        <f t="shared" si="58"/>
        <v>2Q27e</v>
      </c>
      <c r="AB193" s="54" t="str">
        <f t="shared" si="58"/>
        <v>3Q27e</v>
      </c>
      <c r="AC193" s="54" t="str">
        <f t="shared" si="58"/>
        <v>4Q27e</v>
      </c>
      <c r="AD193" s="54" t="str">
        <f t="shared" si="58"/>
        <v>2027e</v>
      </c>
      <c r="AE193" s="54" t="str">
        <f t="shared" si="58"/>
        <v>2028e</v>
      </c>
      <c r="AF193" s="54" t="str">
        <f t="shared" si="58"/>
        <v>2029e</v>
      </c>
      <c r="AG193" s="55" t="str">
        <f t="shared" si="58"/>
        <v>2030e</v>
      </c>
      <c r="AH193" s="257" t="s">
        <v>3</v>
      </c>
      <c r="AI193" s="8"/>
      <c r="AJ193" s="8"/>
      <c r="AK193" s="8"/>
    </row>
    <row r="194" ht="13.5" customHeight="1" spans="1:37" x14ac:dyDescent="0.25">
      <c r="A194" s="257"/>
      <c r="B194" s="8"/>
      <c r="C194" s="8"/>
      <c r="D194" s="8"/>
      <c r="E194" s="8"/>
      <c r="F194" s="348"/>
      <c r="G194" s="348"/>
      <c r="H194" s="348"/>
      <c r="I194" s="348"/>
      <c r="J194" s="8"/>
      <c r="K194" s="348"/>
      <c r="L194" s="348"/>
      <c r="M194" s="348"/>
      <c r="N194" s="348"/>
      <c r="O194" s="8"/>
      <c r="P194" s="348"/>
      <c r="Q194" s="348"/>
      <c r="R194" s="348"/>
      <c r="S194" s="348"/>
      <c r="T194" s="8"/>
      <c r="U194" s="348"/>
      <c r="V194" s="348"/>
      <c r="W194" s="348"/>
      <c r="X194" s="309"/>
      <c r="Y194" s="8"/>
      <c r="Z194" s="309"/>
      <c r="AA194" s="309"/>
      <c r="AB194" s="309"/>
      <c r="AC194" s="309"/>
      <c r="AD194" s="8"/>
      <c r="AE194" s="8"/>
      <c r="AF194" s="8"/>
      <c r="AG194" s="8"/>
      <c r="AH194" s="8"/>
      <c r="AI194" s="8"/>
      <c r="AJ194" s="8"/>
      <c r="AK194" s="8"/>
    </row>
    <row r="195" ht="13.5" customHeight="1" spans="1:37" x14ac:dyDescent="0.25">
      <c r="A195" s="257"/>
      <c r="B195" s="8"/>
      <c r="C195" s="8" t="s">
        <v>375</v>
      </c>
      <c r="D195" s="8"/>
      <c r="E195" s="8"/>
      <c r="F195" s="348">
        <f>E199</f>
        <v>0</v>
      </c>
      <c r="G195" s="348">
        <f>F199</f>
        <v>10658.6</v>
      </c>
      <c r="H195" s="348">
        <f>G199</f>
        <v>10561.7</v>
      </c>
      <c r="I195" s="348">
        <f>H199</f>
        <v>10701.4</v>
      </c>
      <c r="J195" s="275">
        <f>F199</f>
        <v>10658.6</v>
      </c>
      <c r="K195" s="348">
        <f>J199</f>
        <v>11351</v>
      </c>
      <c r="L195" s="348">
        <f>K199</f>
        <v>11310.5</v>
      </c>
      <c r="M195" s="348">
        <f>L199</f>
        <v>11446.5</v>
      </c>
      <c r="N195" s="348">
        <f>M199</f>
        <v>11525.6</v>
      </c>
      <c r="O195" s="275">
        <f>K199</f>
        <v>11310.5</v>
      </c>
      <c r="P195" s="348">
        <f>O199</f>
        <v>11877</v>
      </c>
      <c r="Q195" s="348">
        <f>P199</f>
        <v>11949</v>
      </c>
      <c r="R195" s="348">
        <f>Q199</f>
        <v>12049</v>
      </c>
      <c r="S195" s="348">
        <f>R199</f>
        <v>12192</v>
      </c>
      <c r="T195" s="275">
        <f>P199</f>
        <v>11949</v>
      </c>
      <c r="U195" s="348">
        <f>T199</f>
        <v>0</v>
      </c>
      <c r="V195" s="348">
        <f>U199</f>
        <v>0</v>
      </c>
      <c r="W195" s="348">
        <f>V199</f>
        <v>0</v>
      </c>
      <c r="X195" s="274">
        <f>W199</f>
        <v>0</v>
      </c>
      <c r="Y195" s="275">
        <f>S195</f>
        <v>0</v>
      </c>
      <c r="Z195" s="274">
        <f>Y199</f>
        <v>12225.409495463613</v>
      </c>
      <c r="AA195" s="274">
        <f>Z199</f>
        <v>12223.925315500273</v>
      </c>
      <c r="AB195" s="274">
        <f>AA199</f>
        <v>12261.636408656364</v>
      </c>
      <c r="AC195" s="274">
        <f>AB199</f>
        <v>12278.122690388751</v>
      </c>
      <c r="AD195" s="275">
        <f>Y195</f>
        <v>0</v>
      </c>
      <c r="AE195" s="275">
        <f>AD199</f>
        <v>12319.54840163923</v>
      </c>
      <c r="AF195" s="275">
        <f>AE199</f>
        <v>12397.11712117187</v>
      </c>
      <c r="AG195" s="275">
        <f>AF199</f>
        <v>12427.3819803219</v>
      </c>
      <c r="AH195" s="8"/>
      <c r="AI195" s="8"/>
      <c r="AJ195" s="8"/>
      <c r="AK195" s="8"/>
    </row>
    <row r="196" ht="13.5" customHeight="1" spans="1:37" x14ac:dyDescent="0.25">
      <c r="A196" s="257"/>
      <c r="B196" s="8"/>
      <c r="C196" s="130" t="s">
        <v>118</v>
      </c>
      <c r="D196" s="8"/>
      <c r="E196" s="8"/>
      <c r="F196" s="434">
        <v>378.6</v>
      </c>
      <c r="G196" s="434">
        <v>714.3</v>
      </c>
      <c r="H196" s="434">
        <v>1083.2</v>
      </c>
      <c r="I196" s="434">
        <v>1631.1</v>
      </c>
      <c r="J196" s="324">
        <f>SUM(F196:I196)</f>
        <v>3807.2000000000003</v>
      </c>
      <c r="K196" s="434"/>
      <c r="L196" s="434"/>
      <c r="M196" s="434"/>
      <c r="N196" s="434"/>
      <c r="O196" s="324">
        <f>SUM(K196:N196)</f>
        <v>0</v>
      </c>
      <c r="P196" s="434"/>
      <c r="Q196" s="434"/>
      <c r="R196" s="434"/>
      <c r="S196" s="434"/>
      <c r="T196" s="324">
        <f>SUM(P196:S196)</f>
        <v>0</v>
      </c>
      <c r="U196" s="434"/>
      <c r="V196" s="434"/>
      <c r="W196" s="434"/>
      <c r="X196" s="325">
        <f>X28*X203</f>
        <v>527.8620377467499</v>
      </c>
      <c r="Y196" s="324">
        <f>SUM(U196:X196)</f>
        <v>527.8620377467499</v>
      </c>
      <c r="Z196" s="325">
        <f>Z28*Z203</f>
        <v>483.81183375899997</v>
      </c>
      <c r="AA196" s="325">
        <f>AA28*AA203</f>
        <v>523.641622524</v>
      </c>
      <c r="AB196" s="325">
        <f>AB28*AB203</f>
        <v>503.1368209999999</v>
      </c>
      <c r="AC196" s="325">
        <f>AC28*AC203</f>
        <v>529.153423344</v>
      </c>
      <c r="AD196" s="324">
        <f>SUM(Z196:AC196)</f>
        <v>2039.7437006269997</v>
      </c>
      <c r="AE196" s="324">
        <f>AE203*AE28</f>
        <v>2054.90196135753</v>
      </c>
      <c r="AF196" s="324">
        <f>AF203*AF28</f>
        <v>2115.5227836755053</v>
      </c>
      <c r="AG196" s="324">
        <f>AG203*AG28</f>
        <v>2229.7814324122173</v>
      </c>
      <c r="AH196" s="8"/>
      <c r="AI196" s="8"/>
      <c r="AJ196" s="8"/>
      <c r="AK196" s="8"/>
    </row>
    <row r="197" ht="13.5" customHeight="1" spans="1:37" x14ac:dyDescent="0.25">
      <c r="A197" s="257"/>
      <c r="B197" s="8"/>
      <c r="C197" s="130" t="s">
        <v>376</v>
      </c>
      <c r="D197" s="8"/>
      <c r="E197" s="8"/>
      <c r="F197" s="356"/>
      <c r="G197" s="356"/>
      <c r="H197" s="356"/>
      <c r="I197" s="356"/>
      <c r="J197" s="435">
        <f>SUM(F197:I197)</f>
        <v>0</v>
      </c>
      <c r="K197" s="356"/>
      <c r="L197" s="356"/>
      <c r="M197" s="356"/>
      <c r="N197" s="356"/>
      <c r="O197" s="435">
        <f>SUM(K197:N197)</f>
        <v>0</v>
      </c>
      <c r="P197" s="356"/>
      <c r="Q197" s="356"/>
      <c r="R197" s="356"/>
      <c r="S197" s="356"/>
      <c r="T197" s="435">
        <f>SUM(P197:S197)</f>
        <v>0</v>
      </c>
      <c r="U197" s="356"/>
      <c r="V197" s="356"/>
      <c r="W197" s="356"/>
      <c r="X197" s="358">
        <f>AVERAGE(X195,X199)*-X204/4</f>
        <v>-494.4525422831382</v>
      </c>
      <c r="Y197" s="324">
        <f>SUM(U197:X197)</f>
        <v>-1840.7525422831382</v>
      </c>
      <c r="Z197" s="358">
        <f>AVERAGE(X195,X199)*Z204/4*-1</f>
        <v>-485.2960137223393</v>
      </c>
      <c r="AA197" s="358">
        <f>AVERAGE(Z195,Z199)*AA204/4*-1</f>
        <v>-485.93052936790724</v>
      </c>
      <c r="AB197" s="358">
        <f>AVERAGE(AA195,AA199)*AB204/4*-1</f>
        <v>-486.65053926761317</v>
      </c>
      <c r="AC197" s="358">
        <f>AVERAGE(AB195,AB199)*AC204/4*-1</f>
        <v>-487.72771209352163</v>
      </c>
      <c r="AD197" s="436">
        <f>AVERAGE(AD195,AD199)*-AD204</f>
        <v>-1895.6892979303186</v>
      </c>
      <c r="AE197" s="436">
        <f>AVERAGE(AE195,AE199)*-AE204</f>
        <v>-1977.3332418248879</v>
      </c>
      <c r="AF197" s="436">
        <f>AVERAGE(AF195,AF199)*-AF204</f>
        <v>-2085.257924525477</v>
      </c>
      <c r="AG197" s="436">
        <f>AVERAGE(AG195,AG199)*-AG204</f>
        <v>-2190.6617597324716</v>
      </c>
      <c r="AH197" s="8"/>
      <c r="AI197" s="8"/>
      <c r="AJ197" s="8"/>
      <c r="AK197" s="8"/>
    </row>
    <row r="198" ht="13.5" customHeight="1" spans="1:37" x14ac:dyDescent="0.25">
      <c r="A198" s="257"/>
      <c r="B198" s="8"/>
      <c r="C198" s="130" t="s">
        <v>377</v>
      </c>
      <c r="D198" s="8"/>
      <c r="E198" s="8"/>
      <c r="F198" s="350"/>
      <c r="G198" s="350"/>
      <c r="H198" s="350"/>
      <c r="I198" s="350"/>
      <c r="J198" s="437">
        <f>SUM(F198:I198)</f>
        <v>0</v>
      </c>
      <c r="K198" s="350"/>
      <c r="L198" s="350"/>
      <c r="M198" s="350"/>
      <c r="N198" s="350"/>
      <c r="O198" s="437">
        <f>SUM(K198:N198)</f>
        <v>0</v>
      </c>
      <c r="P198" s="350"/>
      <c r="Q198" s="350"/>
      <c r="R198" s="350"/>
      <c r="S198" s="350"/>
      <c r="T198" s="437">
        <f>SUM(P198:S198)</f>
        <v>0</v>
      </c>
      <c r="U198" s="350"/>
      <c r="V198" s="350"/>
      <c r="W198" s="350"/>
      <c r="X198" s="405">
        <f>-Drivers!X97</f>
        <v>0</v>
      </c>
      <c r="Y198" s="437">
        <f>SUM(U198:X198)</f>
        <v>0</v>
      </c>
      <c r="Z198" s="405">
        <f>-Drivers!Z97</f>
        <v>0</v>
      </c>
      <c r="AA198" s="405">
        <f>-Drivers!AA97</f>
        <v>0</v>
      </c>
      <c r="AB198" s="405">
        <f>-Drivers!AB97</f>
        <v>0</v>
      </c>
      <c r="AC198" s="405">
        <f>-Drivers!AC97</f>
        <v>0</v>
      </c>
      <c r="AD198" s="437">
        <f>SUM(Z198:AC198)</f>
        <v>0</v>
      </c>
      <c r="AE198" s="411">
        <f>-Drivers!AE97</f>
        <v>0</v>
      </c>
      <c r="AF198" s="411">
        <f>-Drivers!AF97</f>
        <v>0</v>
      </c>
      <c r="AG198" s="411">
        <f>-Drivers!AG97</f>
        <v>0</v>
      </c>
      <c r="AH198" s="8"/>
      <c r="AI198" s="8"/>
      <c r="AJ198" s="8"/>
      <c r="AK198" s="8"/>
    </row>
    <row r="199" ht="13.5" customHeight="1" spans="1:37" x14ac:dyDescent="0.25">
      <c r="A199" s="257"/>
      <c r="B199" s="8"/>
      <c r="C199" s="8" t="s">
        <v>378</v>
      </c>
      <c r="D199" s="8"/>
      <c r="E199" s="8"/>
      <c r="F199" s="348">
        <f>F129</f>
        <v>10658.6</v>
      </c>
      <c r="G199" s="348">
        <f>G129</f>
        <v>10561.7</v>
      </c>
      <c r="H199" s="348">
        <f>H129</f>
        <v>10701.4</v>
      </c>
      <c r="I199" s="348">
        <f>I129</f>
        <v>11351</v>
      </c>
      <c r="J199" s="275">
        <f>J129</f>
        <v>11351</v>
      </c>
      <c r="K199" s="348">
        <f t="shared" ref="K199:V199" si="59">K129</f>
        <v>11310.5</v>
      </c>
      <c r="L199" s="348">
        <f t="shared" si="59"/>
        <v>11446.5</v>
      </c>
      <c r="M199" s="348">
        <f t="shared" si="59"/>
        <v>11525.6</v>
      </c>
      <c r="N199" s="348">
        <f t="shared" si="59"/>
        <v>11877</v>
      </c>
      <c r="O199" s="275">
        <f t="shared" si="59"/>
        <v>11877</v>
      </c>
      <c r="P199" s="348">
        <f t="shared" si="59"/>
        <v>11949</v>
      </c>
      <c r="Q199" s="348">
        <f t="shared" si="59"/>
        <v>12049</v>
      </c>
      <c r="R199" s="348">
        <f t="shared" si="59"/>
        <v>12192</v>
      </c>
      <c r="S199" s="348">
        <f t="shared" si="59"/>
        <v>12639</v>
      </c>
      <c r="T199" s="275">
        <f t="shared" si="59"/>
        <v>12639</v>
      </c>
      <c r="U199" s="348">
        <f t="shared" si="59"/>
        <v>0</v>
      </c>
      <c r="V199" s="348">
        <f t="shared" si="59"/>
        <v>0</v>
      </c>
      <c r="W199" s="348">
        <f>W129</f>
        <v>0</v>
      </c>
      <c r="X199" s="274">
        <f>SUM(X195:X198)</f>
        <v>12225.409495463613</v>
      </c>
      <c r="Y199" s="275">
        <f>X199</f>
        <v>12225.409495463613</v>
      </c>
      <c r="Z199" s="274">
        <f>SUM(Z195:Z198)</f>
        <v>12223.925315500273</v>
      </c>
      <c r="AA199" s="274">
        <f>SUM(AA195:AA198)</f>
        <v>12261.636408656364</v>
      </c>
      <c r="AB199" s="274">
        <f>SUM(AB195:AB198)</f>
        <v>12278.122690388751</v>
      </c>
      <c r="AC199" s="274">
        <f>SUM(AC195:AC198)</f>
        <v>12319.54840163923</v>
      </c>
      <c r="AD199" s="275">
        <f>AC199</f>
        <v>12319.54840163923</v>
      </c>
      <c r="AE199" s="275">
        <f>SUM(AE195:AE198)</f>
        <v>12397.11712117187</v>
      </c>
      <c r="AF199" s="275">
        <f>SUM(AF195:AF198)</f>
        <v>12427.3819803219</v>
      </c>
      <c r="AG199" s="275">
        <f>SUM(AG195:AG198)</f>
        <v>12466.501653001646</v>
      </c>
      <c r="AH199" s="8"/>
      <c r="AI199" s="8"/>
      <c r="AJ199" s="8"/>
      <c r="AK199" s="8"/>
    </row>
    <row r="200" ht="13.5" customHeight="1" spans="1:37" x14ac:dyDescent="0.25">
      <c r="A200" s="257"/>
      <c r="B200" s="8"/>
      <c r="C200" s="8"/>
      <c r="D200" s="8"/>
      <c r="E200" s="8"/>
      <c r="F200" s="348"/>
      <c r="G200" s="348"/>
      <c r="H200" s="348"/>
      <c r="I200" s="348"/>
      <c r="J200" s="275"/>
      <c r="K200" s="348"/>
      <c r="L200" s="348"/>
      <c r="M200" s="348"/>
      <c r="N200" s="348"/>
      <c r="O200" s="275"/>
      <c r="P200" s="348"/>
      <c r="Q200" s="348"/>
      <c r="R200" s="348"/>
      <c r="S200" s="348"/>
      <c r="T200" s="275"/>
      <c r="U200" s="348"/>
      <c r="V200" s="348"/>
      <c r="W200" s="348"/>
      <c r="X200" s="274"/>
      <c r="Y200" s="275"/>
      <c r="Z200" s="274"/>
      <c r="AA200" s="274"/>
      <c r="AB200" s="274"/>
      <c r="AC200" s="274"/>
      <c r="AD200" s="275"/>
      <c r="AE200" s="8"/>
      <c r="AF200" s="8"/>
      <c r="AG200" s="8"/>
      <c r="AH200" s="8"/>
      <c r="AI200" s="8"/>
      <c r="AJ200" s="8"/>
      <c r="AK200" s="8"/>
    </row>
    <row r="201" ht="13.5" customHeight="1" spans="1:37" x14ac:dyDescent="0.25">
      <c r="A201" s="257"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16"/>
      <c r="AH201" s="257" t="s">
        <v>3</v>
      </c>
      <c r="AI201" s="8"/>
      <c r="AJ201" s="8"/>
      <c r="AK201" s="8"/>
    </row>
    <row r="202" ht="13.5" customHeight="1" spans="1:37" x14ac:dyDescent="0.25">
      <c r="A202" s="257"/>
      <c r="B202" s="8"/>
      <c r="C202" s="8"/>
      <c r="D202" s="8"/>
      <c r="E202" s="8"/>
      <c r="F202" s="308"/>
      <c r="G202" s="308"/>
      <c r="H202" s="308"/>
      <c r="I202" s="308"/>
      <c r="J202" s="8"/>
      <c r="K202" s="308"/>
      <c r="L202" s="308"/>
      <c r="M202" s="308"/>
      <c r="N202" s="308"/>
      <c r="O202" s="8"/>
      <c r="P202" s="308"/>
      <c r="Q202" s="308"/>
      <c r="R202" s="308"/>
      <c r="S202" s="308"/>
      <c r="T202" s="8"/>
      <c r="U202" s="308"/>
      <c r="V202" s="308"/>
      <c r="W202" s="308"/>
      <c r="X202" s="309"/>
      <c r="Y202" s="8"/>
      <c r="Z202" s="309"/>
      <c r="AA202" s="309"/>
      <c r="AB202" s="309"/>
      <c r="AC202" s="309"/>
      <c r="AD202" s="8"/>
      <c r="AE202" s="8"/>
      <c r="AF202" s="8"/>
      <c r="AG202" s="8"/>
      <c r="AH202" s="8"/>
      <c r="AI202" s="8"/>
      <c r="AJ202" s="8"/>
      <c r="AK202" s="8"/>
    </row>
    <row r="203" ht="13.5" customHeight="1" spans="1:37" s="438" customFormat="1" x14ac:dyDescent="0.25">
      <c r="A203" s="439"/>
      <c r="B203" s="418"/>
      <c r="C203" s="418" t="s">
        <v>379</v>
      </c>
      <c r="D203" s="418"/>
      <c r="E203" s="418"/>
      <c r="F203" s="417">
        <f>F196/F28</f>
        <v>0.09129050925925927</v>
      </c>
      <c r="G203" s="417">
        <f>G196/G28</f>
        <v>0.16529365483408154</v>
      </c>
      <c r="H203" s="417">
        <f>H196/H28</f>
        <v>0.24538987812061072</v>
      </c>
      <c r="I203" s="417">
        <f>I196/I28</f>
        <v>0.37101653663307776</v>
      </c>
      <c r="J203" s="418">
        <f>J196/J28</f>
        <v>0.2203355498839639</v>
      </c>
      <c r="K203" s="417">
        <f t="shared" ref="K203:W203" si="60">K196/K28</f>
        <v>0</v>
      </c>
      <c r="L203" s="417">
        <f t="shared" si="60"/>
        <v>0</v>
      </c>
      <c r="M203" s="417">
        <f t="shared" si="60"/>
        <v>0</v>
      </c>
      <c r="N203" s="417">
        <f t="shared" si="60"/>
        <v>0</v>
      </c>
      <c r="O203" s="418">
        <f t="shared" si="60"/>
        <v>0</v>
      </c>
      <c r="P203" s="417">
        <f t="shared" si="60"/>
        <v>0</v>
      </c>
      <c r="Q203" s="417">
        <f t="shared" si="60"/>
        <v>0</v>
      </c>
      <c r="R203" s="417">
        <f t="shared" si="60"/>
        <v>0</v>
      </c>
      <c r="S203" s="417">
        <f t="shared" si="60"/>
        <v>0</v>
      </c>
      <c r="T203" s="418">
        <f t="shared" si="60"/>
        <v>0</v>
      </c>
      <c r="U203" s="417">
        <f t="shared" si="60"/>
        <v>0</v>
      </c>
      <c r="V203" s="417">
        <f t="shared" si="60"/>
        <v>0</v>
      </c>
      <c r="W203" s="417">
        <f t="shared" si="60"/>
        <v>0</v>
      </c>
      <c r="X203" s="440">
        <f>Drivers!X92</f>
        <v>0.119</v>
      </c>
      <c r="Y203" s="441">
        <f>Y196/Y28</f>
        <v>0.03046626048850527</v>
      </c>
      <c r="Z203" s="440">
        <f>Drivers!Z92</f>
        <v>0.111</v>
      </c>
      <c r="AA203" s="440">
        <f>Drivers!AA92</f>
        <v>0.114</v>
      </c>
      <c r="AB203" s="440">
        <f>Drivers!AB92</f>
        <v>0.11</v>
      </c>
      <c r="AC203" s="440">
        <f>Drivers!AC92</f>
        <v>0.117</v>
      </c>
      <c r="AD203" s="441">
        <f>AD196/AD28</f>
        <v>0.1130135643986769</v>
      </c>
      <c r="AE203" s="441">
        <f>Drivers!AE92</f>
        <v>0.1086</v>
      </c>
      <c r="AF203" s="441">
        <f>Drivers!AF92</f>
        <v>0.1064</v>
      </c>
      <c r="AG203" s="441">
        <f>Drivers!AG92</f>
        <v>0.107</v>
      </c>
      <c r="AH203" s="418"/>
      <c r="AI203" s="418"/>
      <c r="AJ203" s="418"/>
      <c r="AK203" s="418"/>
    </row>
    <row r="204" ht="13.5" customHeight="1" spans="1:37" x14ac:dyDescent="0.25">
      <c r="A204" s="257"/>
      <c r="B204" s="8"/>
      <c r="C204" s="442" t="s">
        <v>380</v>
      </c>
      <c r="D204" s="8"/>
      <c r="E204" s="8"/>
      <c r="F204" s="431" t="e">
        <f>-F197*4/AVERAGE(E199:F199)</f>
        <v>#DIV/0!</v>
      </c>
      <c r="G204" s="431" t="e">
        <f>-G197*4/AVERAGE(F199:G199)</f>
        <v>#DIV/0!</v>
      </c>
      <c r="H204" s="431" t="e">
        <f>-H197*4/AVERAGE(G199:H199)</f>
        <v>#DIV/0!</v>
      </c>
      <c r="I204" s="431" t="e">
        <f>-I197*4/AVERAGE(H199:I199)</f>
        <v>#DIV/0!</v>
      </c>
      <c r="J204" s="206" t="e">
        <f>-J197/AVERAGE(E199,J199)</f>
        <v>#DIV/0!</v>
      </c>
      <c r="K204" s="431" t="e">
        <f>-K197*4/AVERAGE(J199:K199)</f>
        <v>#DIV/0!</v>
      </c>
      <c r="L204" s="431" t="e">
        <f>-L197*4/AVERAGE(K199:L199)</f>
        <v>#DIV/0!</v>
      </c>
      <c r="M204" s="431" t="e">
        <f>-M197*4/AVERAGE(L199:M199)</f>
        <v>#DIV/0!</v>
      </c>
      <c r="N204" s="431" t="e">
        <f>-N197*4/AVERAGE(M199:N199)</f>
        <v>#DIV/0!</v>
      </c>
      <c r="O204" s="206" t="e">
        <f>-O197/AVERAGE(J199,O199)</f>
        <v>#DIV/0!</v>
      </c>
      <c r="P204" s="431" t="e">
        <f>-P197*4/AVERAGE(O199:P199)</f>
        <v>#DIV/0!</v>
      </c>
      <c r="Q204" s="431" t="e">
        <f>-Q197*4/AVERAGE(P199:Q199)</f>
        <v>#DIV/0!</v>
      </c>
      <c r="R204" s="431" t="e">
        <f>-R197*4/AVERAGE(Q199:R199)</f>
        <v>#DIV/0!</v>
      </c>
      <c r="S204" s="431" t="e">
        <f>-S197*4/AVERAGE(R199:S199)</f>
        <v>#DIV/0!</v>
      </c>
      <c r="T204" s="206" t="e">
        <f>-T197/AVERAGE(O199,T199)</f>
        <v>#DIV/0!</v>
      </c>
      <c r="U204" s="431" t="e">
        <f>-U197*4/AVERAGE(T199:U199)</f>
        <v>#DIV/0!</v>
      </c>
      <c r="V204" s="431" t="e">
        <f>-V197*4/AVERAGE(U199:V199)</f>
        <v>#DIV/0!</v>
      </c>
      <c r="W204" s="431" t="e">
        <f>-W197*4/AVERAGE(V199:W199)</f>
        <v>#DIV/0!</v>
      </c>
      <c r="X204" s="432">
        <f>Drivers!X72</f>
        <v>0.162</v>
      </c>
      <c r="Y204" s="206" t="e">
        <f>AVERAGE(U204:X204)</f>
        <v>#DIV/0!</v>
      </c>
      <c r="Z204" s="432">
        <f>Drivers!Z72</f>
        <v>0.159</v>
      </c>
      <c r="AA204" s="432">
        <f>Drivers!AA72</f>
        <v>0.159</v>
      </c>
      <c r="AB204" s="432">
        <f>Drivers!AB72</f>
        <v>0.159</v>
      </c>
      <c r="AC204" s="432">
        <f>Drivers!AC72</f>
        <v>0.159</v>
      </c>
      <c r="AD204" s="206">
        <f>AVERAGE(Z204:AC204)</f>
        <v>0.159</v>
      </c>
      <c r="AE204" s="433">
        <f>Drivers!AE72</f>
        <v>0.16</v>
      </c>
      <c r="AF204" s="433">
        <f>Drivers!AF72</f>
        <v>0.168</v>
      </c>
      <c r="AG204" s="433">
        <f>Drivers!AG72</f>
        <v>0.176</v>
      </c>
      <c r="AH204" s="8"/>
      <c r="AI204" s="8"/>
      <c r="AJ204" s="8"/>
      <c r="AK204" s="8"/>
    </row>
    <row r="205" ht="13.5" customHeight="1" spans="1:37" x14ac:dyDescent="0.25">
      <c r="A205" s="257"/>
      <c r="B205" s="8"/>
      <c r="C205" s="442" t="s">
        <v>381</v>
      </c>
      <c r="D205" s="8"/>
      <c r="E205" s="8"/>
      <c r="F205" s="431">
        <f>-F197/F28</f>
        <v>0</v>
      </c>
      <c r="G205" s="431">
        <f>-G197/G28</f>
        <v>0</v>
      </c>
      <c r="H205" s="431">
        <f>-H197/H28</f>
        <v>0</v>
      </c>
      <c r="I205" s="431">
        <f>-I197/I28</f>
        <v>0</v>
      </c>
      <c r="J205" s="206">
        <f>-J197/J28</f>
        <v>0</v>
      </c>
      <c r="K205" s="431">
        <f t="shared" ref="K205:AG205" si="61">-K197/K28</f>
        <v>0</v>
      </c>
      <c r="L205" s="431">
        <f t="shared" si="61"/>
        <v>0</v>
      </c>
      <c r="M205" s="431">
        <f t="shared" si="61"/>
        <v>0</v>
      </c>
      <c r="N205" s="431">
        <f t="shared" si="61"/>
        <v>0</v>
      </c>
      <c r="O205" s="206">
        <f t="shared" si="61"/>
        <v>0</v>
      </c>
      <c r="P205" s="431">
        <f t="shared" si="61"/>
        <v>0</v>
      </c>
      <c r="Q205" s="431">
        <f t="shared" si="61"/>
        <v>0</v>
      </c>
      <c r="R205" s="431">
        <f t="shared" si="61"/>
        <v>0</v>
      </c>
      <c r="S205" s="431">
        <f t="shared" si="61"/>
        <v>0</v>
      </c>
      <c r="T205" s="206">
        <f t="shared" si="61"/>
        <v>0</v>
      </c>
      <c r="U205" s="431">
        <f t="shared" si="61"/>
        <v>0</v>
      </c>
      <c r="V205" s="431">
        <f t="shared" si="61"/>
        <v>0</v>
      </c>
      <c r="W205" s="431">
        <f t="shared" si="61"/>
        <v>0</v>
      </c>
      <c r="X205" s="443">
        <f t="shared" si="61"/>
        <v>0.11146824041914297</v>
      </c>
      <c r="Y205" s="206">
        <f t="shared" si="61"/>
        <v>0.10624148439896347</v>
      </c>
      <c r="Z205" s="443">
        <f t="shared" si="61"/>
        <v>0.11134051249770117</v>
      </c>
      <c r="AA205" s="443">
        <f t="shared" si="61"/>
        <v>0.10579006321332383</v>
      </c>
      <c r="AB205" s="443">
        <f t="shared" si="61"/>
        <v>0.10639563054248709</v>
      </c>
      <c r="AC205" s="443">
        <f t="shared" si="61"/>
        <v>0.10784044815268051</v>
      </c>
      <c r="AD205" s="206">
        <f t="shared" si="61"/>
        <v>0.1050321197146855</v>
      </c>
      <c r="AE205" s="206">
        <f t="shared" si="61"/>
        <v>0.1045005523866064</v>
      </c>
      <c r="AF205" s="206">
        <f t="shared" si="61"/>
        <v>0.10487783203357032</v>
      </c>
      <c r="AG205" s="206">
        <f t="shared" si="61"/>
        <v>0.10512277341810829</v>
      </c>
      <c r="AH205" s="8"/>
      <c r="AI205" s="8"/>
      <c r="AJ205" s="8"/>
      <c r="AK205" s="8"/>
    </row>
    <row r="206" ht="13.5" customHeight="1" spans="1:37" x14ac:dyDescent="0.25">
      <c r="A206" s="257"/>
      <c r="B206" s="8"/>
      <c r="C206" s="8"/>
      <c r="D206" s="8"/>
      <c r="E206" s="8"/>
      <c r="F206" s="308"/>
      <c r="G206" s="308"/>
      <c r="H206" s="308"/>
      <c r="I206" s="308"/>
      <c r="J206" s="8"/>
      <c r="K206" s="308"/>
      <c r="L206" s="308"/>
      <c r="M206" s="308"/>
      <c r="N206" s="308"/>
      <c r="O206" s="8"/>
      <c r="P206" s="308"/>
      <c r="Q206" s="308"/>
      <c r="R206" s="308"/>
      <c r="S206" s="308"/>
      <c r="T206" s="8"/>
      <c r="U206" s="308"/>
      <c r="V206" s="308"/>
      <c r="W206" s="308"/>
      <c r="X206" s="309"/>
      <c r="Y206" s="8"/>
      <c r="Z206" s="309"/>
      <c r="AA206" s="309"/>
      <c r="AB206" s="309"/>
      <c r="AC206" s="309"/>
      <c r="AD206" s="8"/>
      <c r="AE206" s="8"/>
      <c r="AF206" s="8"/>
      <c r="AG206" s="8"/>
      <c r="AH206" s="8"/>
      <c r="AI206" s="8"/>
      <c r="AJ206" s="8"/>
      <c r="AK206" s="8"/>
    </row>
    <row r="207" ht="13.5" customHeight="1" spans="1:37" x14ac:dyDescent="0.25">
      <c r="A207" s="257" t="s">
        <v>3</v>
      </c>
      <c r="B207" s="40"/>
      <c r="C207" s="53" t="s">
        <v>382</v>
      </c>
      <c r="D207" s="11"/>
      <c r="E207" s="11"/>
      <c r="F207" s="54">
        <f t="shared" ref="F207:AG207" si="62">F$65</f>
        <v>0</v>
      </c>
      <c r="G207" s="54">
        <f t="shared" si="62"/>
        <v>0</v>
      </c>
      <c r="H207" s="54">
        <f t="shared" si="62"/>
        <v>0</v>
      </c>
      <c r="I207" s="54">
        <f t="shared" si="62"/>
        <v>0</v>
      </c>
      <c r="J207" s="54">
        <f t="shared" si="62"/>
        <v>2023</v>
      </c>
      <c r="K207" s="54">
        <f t="shared" si="62"/>
        <v>0</v>
      </c>
      <c r="L207" s="54">
        <f t="shared" si="62"/>
        <v>0</v>
      </c>
      <c r="M207" s="54">
        <f t="shared" si="62"/>
        <v>0</v>
      </c>
      <c r="N207" s="54">
        <f t="shared" si="62"/>
        <v>0</v>
      </c>
      <c r="O207" s="54">
        <f t="shared" si="62"/>
        <v>2024</v>
      </c>
      <c r="P207" s="54">
        <f t="shared" si="62"/>
        <v>0</v>
      </c>
      <c r="Q207" s="54">
        <f t="shared" si="62"/>
        <v>0</v>
      </c>
      <c r="R207" s="54">
        <f t="shared" si="62"/>
        <v>0</v>
      </c>
      <c r="S207" s="54">
        <f t="shared" si="62"/>
        <v>0</v>
      </c>
      <c r="T207" s="54">
        <f t="shared" si="62"/>
        <v>2025</v>
      </c>
      <c r="U207" s="54" t="str">
        <f t="shared" si="62"/>
        <v>1Q26e</v>
      </c>
      <c r="V207" s="54" t="str">
        <f t="shared" si="62"/>
        <v>2Q26e</v>
      </c>
      <c r="W207" s="54" t="str">
        <f t="shared" si="62"/>
        <v>3Q26</v>
      </c>
      <c r="X207" s="54" t="str">
        <f t="shared" si="62"/>
        <v>4Q26e</v>
      </c>
      <c r="Y207" s="54" t="str">
        <f t="shared" si="62"/>
        <v>2026e</v>
      </c>
      <c r="Z207" s="54" t="str">
        <f t="shared" si="62"/>
        <v>1Q27e</v>
      </c>
      <c r="AA207" s="54" t="str">
        <f t="shared" si="62"/>
        <v>2Q27e</v>
      </c>
      <c r="AB207" s="54" t="str">
        <f t="shared" si="62"/>
        <v>3Q27e</v>
      </c>
      <c r="AC207" s="54" t="str">
        <f t="shared" si="62"/>
        <v>4Q27e</v>
      </c>
      <c r="AD207" s="54" t="str">
        <f t="shared" si="62"/>
        <v>2027e</v>
      </c>
      <c r="AE207" s="54" t="str">
        <f t="shared" si="62"/>
        <v>2028e</v>
      </c>
      <c r="AF207" s="54" t="str">
        <f t="shared" si="62"/>
        <v>2029e</v>
      </c>
      <c r="AG207" s="55" t="str">
        <f t="shared" si="62"/>
        <v>2030e</v>
      </c>
      <c r="AH207" s="257" t="s">
        <v>3</v>
      </c>
      <c r="AI207" s="8"/>
      <c r="AJ207" s="8"/>
      <c r="AK207" s="8"/>
    </row>
    <row r="208" ht="13.5" customHeight="1" spans="1:37" x14ac:dyDescent="0.25">
      <c r="A208" s="257"/>
      <c r="B208" s="8"/>
      <c r="C208" s="8"/>
      <c r="D208" s="8"/>
      <c r="E208" s="8"/>
      <c r="F208" s="308"/>
      <c r="G208" s="308"/>
      <c r="H208" s="308"/>
      <c r="I208" s="308"/>
      <c r="J208" s="8"/>
      <c r="K208" s="308"/>
      <c r="L208" s="308"/>
      <c r="M208" s="308"/>
      <c r="N208" s="308"/>
      <c r="O208" s="8"/>
      <c r="P208" s="308"/>
      <c r="Q208" s="308"/>
      <c r="R208" s="308"/>
      <c r="S208" s="308"/>
      <c r="T208" s="8"/>
      <c r="U208" s="308"/>
      <c r="V208" s="308"/>
      <c r="W208" s="308"/>
      <c r="X208" s="309"/>
      <c r="Y208" s="8"/>
      <c r="Z208" s="309"/>
      <c r="AA208" s="309"/>
      <c r="AB208" s="309"/>
      <c r="AC208" s="309"/>
      <c r="AD208" s="8"/>
      <c r="AE208" s="8"/>
      <c r="AF208" s="8"/>
      <c r="AG208" s="8"/>
      <c r="AH208" s="8"/>
      <c r="AI208" s="8"/>
      <c r="AJ208" s="8"/>
      <c r="AK208" s="8"/>
    </row>
    <row r="209" ht="13.5" customHeight="1" spans="1:37" x14ac:dyDescent="0.25">
      <c r="A209" s="257"/>
      <c r="B209" s="8"/>
      <c r="C209" s="442" t="s">
        <v>383</v>
      </c>
      <c r="D209" s="8"/>
      <c r="E209" s="8"/>
      <c r="F209" s="348">
        <f>E213</f>
        <v>0</v>
      </c>
      <c r="G209" s="348">
        <f>F213</f>
        <v>15.1</v>
      </c>
      <c r="H209" s="348">
        <f>G213</f>
        <v>30.1</v>
      </c>
      <c r="I209" s="348">
        <f>H213</f>
        <v>47.400000000000006</v>
      </c>
      <c r="J209" s="275">
        <f>F209</f>
        <v>0</v>
      </c>
      <c r="K209" s="348">
        <f>J213</f>
        <v>496</v>
      </c>
      <c r="L209" s="348">
        <f>K213</f>
        <v>513.8</v>
      </c>
      <c r="M209" s="348">
        <f>L213</f>
        <v>532.5</v>
      </c>
      <c r="N209" s="348">
        <f>M213</f>
        <v>550.3</v>
      </c>
      <c r="O209" s="275">
        <f>K209</f>
        <v>496</v>
      </c>
      <c r="P209" s="348">
        <f>O213</f>
        <v>546</v>
      </c>
      <c r="Q209" s="348">
        <f>P213</f>
        <v>567</v>
      </c>
      <c r="R209" s="348">
        <f>Q213</f>
        <v>589</v>
      </c>
      <c r="S209" s="348">
        <f>R213</f>
        <v>611</v>
      </c>
      <c r="T209" s="275">
        <f>P209</f>
        <v>546</v>
      </c>
      <c r="U209" s="348">
        <f>S213</f>
        <v>0</v>
      </c>
      <c r="V209" s="348">
        <f>U213</f>
        <v>0</v>
      </c>
      <c r="W209" s="348">
        <f>V213</f>
        <v>0</v>
      </c>
      <c r="X209" s="274">
        <f>W213</f>
        <v>0</v>
      </c>
      <c r="Y209" s="275">
        <f>U209</f>
        <v>0</v>
      </c>
      <c r="Z209" s="274">
        <f>Y213</f>
        <v>0</v>
      </c>
      <c r="AA209" s="274">
        <f>Z213</f>
        <v>0</v>
      </c>
      <c r="AB209" s="274">
        <f>AA213</f>
        <v>0</v>
      </c>
      <c r="AC209" s="274">
        <f>AB213</f>
        <v>0</v>
      </c>
      <c r="AD209" s="275">
        <f>Z209</f>
        <v>0</v>
      </c>
      <c r="AE209" s="275">
        <f>AD213</f>
        <v>0</v>
      </c>
      <c r="AF209" s="275">
        <f>AE213</f>
        <v>0</v>
      </c>
      <c r="AG209" s="275">
        <f>AF213</f>
        <v>0</v>
      </c>
      <c r="AH209" s="275"/>
      <c r="AI209" s="8"/>
      <c r="AJ209" s="8"/>
      <c r="AK209" s="8"/>
    </row>
    <row r="210" ht="13.5" customHeight="1" spans="1:37" x14ac:dyDescent="0.25">
      <c r="A210" s="257"/>
      <c r="B210" s="8"/>
      <c r="C210" s="359" t="s">
        <v>305</v>
      </c>
      <c r="D210" s="8"/>
      <c r="E210" s="8"/>
      <c r="F210" s="434">
        <v>0</v>
      </c>
      <c r="G210" s="434">
        <v>0</v>
      </c>
      <c r="H210" s="434">
        <v>0</v>
      </c>
      <c r="I210" s="434">
        <v>0</v>
      </c>
      <c r="J210" s="324"/>
      <c r="K210" s="434">
        <v>0</v>
      </c>
      <c r="L210" s="434">
        <v>0</v>
      </c>
      <c r="M210" s="434">
        <v>0</v>
      </c>
      <c r="N210" s="434">
        <v>0</v>
      </c>
      <c r="O210" s="324"/>
      <c r="P210" s="434">
        <v>0</v>
      </c>
      <c r="Q210" s="434">
        <v>0</v>
      </c>
      <c r="R210" s="434">
        <v>0</v>
      </c>
      <c r="S210" s="434">
        <v>0</v>
      </c>
      <c r="T210" s="324"/>
      <c r="U210" s="434">
        <v>0</v>
      </c>
      <c r="V210" s="434">
        <v>0</v>
      </c>
      <c r="W210" s="434">
        <v>0</v>
      </c>
      <c r="X210" s="434">
        <v>0</v>
      </c>
      <c r="Y210" s="324">
        <f>SUM(U210:X210)</f>
        <v>0</v>
      </c>
      <c r="Z210" s="434">
        <v>0</v>
      </c>
      <c r="AA210" s="434">
        <v>0</v>
      </c>
      <c r="AB210" s="434">
        <v>0</v>
      </c>
      <c r="AC210" s="434">
        <v>0</v>
      </c>
      <c r="AD210" s="324">
        <f>SUM(Z210:AC210)</f>
        <v>0</v>
      </c>
      <c r="AE210" s="444">
        <v>0</v>
      </c>
      <c r="AF210" s="444">
        <v>0</v>
      </c>
      <c r="AG210" s="444">
        <v>0</v>
      </c>
      <c r="AH210" s="8"/>
      <c r="AI210" s="8"/>
      <c r="AJ210" s="8"/>
      <c r="AK210" s="8"/>
    </row>
    <row r="211" ht="13.5" customHeight="1" spans="1:37" x14ac:dyDescent="0.25">
      <c r="A211" s="257"/>
      <c r="B211" s="8"/>
      <c r="C211" s="359" t="s">
        <v>384</v>
      </c>
      <c r="D211" s="8"/>
      <c r="E211" s="8"/>
      <c r="F211" s="434">
        <v>-15.1</v>
      </c>
      <c r="G211" s="434">
        <v>-15</v>
      </c>
      <c r="H211" s="434">
        <v>-17.3</v>
      </c>
      <c r="I211" s="434">
        <v>-18.6</v>
      </c>
      <c r="J211" s="324">
        <f>SUM(F211:I211)</f>
        <v>-66</v>
      </c>
      <c r="K211" s="434">
        <v>-17.8</v>
      </c>
      <c r="L211" s="434">
        <v>-18.7</v>
      </c>
      <c r="M211" s="434">
        <v>-17.8</v>
      </c>
      <c r="N211" s="434">
        <v>-24.7</v>
      </c>
      <c r="O211" s="324">
        <f>SUM(K211:N211)</f>
        <v>-79</v>
      </c>
      <c r="P211" s="434">
        <v>-21</v>
      </c>
      <c r="Q211" s="434">
        <v>-22</v>
      </c>
      <c r="R211" s="434">
        <v>-22</v>
      </c>
      <c r="S211" s="434">
        <v>-24</v>
      </c>
      <c r="T211" s="324">
        <f>SUM(P211:S211)</f>
        <v>-89</v>
      </c>
      <c r="U211" s="434">
        <v>0</v>
      </c>
      <c r="V211" s="434">
        <v>0</v>
      </c>
      <c r="W211" s="434">
        <v>0</v>
      </c>
      <c r="X211" s="434">
        <v>0</v>
      </c>
      <c r="Y211" s="324">
        <f>SUM(U211:X211)</f>
        <v>0</v>
      </c>
      <c r="Z211" s="434">
        <v>0</v>
      </c>
      <c r="AA211" s="434">
        <v>0</v>
      </c>
      <c r="AB211" s="434">
        <v>0</v>
      </c>
      <c r="AC211" s="434">
        <v>0</v>
      </c>
      <c r="AD211" s="324">
        <f>SUM(Z211:AC211)</f>
        <v>0</v>
      </c>
      <c r="AE211" s="444">
        <v>0</v>
      </c>
      <c r="AF211" s="444">
        <v>0</v>
      </c>
      <c r="AG211" s="444">
        <v>0</v>
      </c>
      <c r="AH211" s="8"/>
      <c r="AI211" s="8"/>
      <c r="AJ211" s="8"/>
      <c r="AK211" s="8"/>
    </row>
    <row r="212" ht="13.5" customHeight="1" spans="1:37" x14ac:dyDescent="0.25">
      <c r="A212" s="257"/>
      <c r="B212" s="8"/>
      <c r="C212" s="359" t="s">
        <v>385</v>
      </c>
      <c r="D212" s="8"/>
      <c r="E212" s="8"/>
      <c r="F212" s="445">
        <v>0</v>
      </c>
      <c r="G212" s="445">
        <v>0</v>
      </c>
      <c r="H212" s="445">
        <v>0</v>
      </c>
      <c r="I212" s="445">
        <v>0</v>
      </c>
      <c r="J212" s="437">
        <f>SUM(F212:I212)</f>
        <v>0</v>
      </c>
      <c r="K212" s="445">
        <v>0</v>
      </c>
      <c r="L212" s="445">
        <v>0</v>
      </c>
      <c r="M212" s="445">
        <v>0</v>
      </c>
      <c r="N212" s="445">
        <v>0</v>
      </c>
      <c r="O212" s="437">
        <f>SUM(K212:N212)</f>
        <v>0</v>
      </c>
      <c r="P212" s="445">
        <v>0</v>
      </c>
      <c r="Q212" s="445">
        <v>0</v>
      </c>
      <c r="R212" s="445">
        <v>0</v>
      </c>
      <c r="S212" s="445">
        <v>0</v>
      </c>
      <c r="T212" s="437">
        <f>SUM(P212:S212)</f>
        <v>0</v>
      </c>
      <c r="U212" s="445">
        <v>0</v>
      </c>
      <c r="V212" s="445">
        <v>0</v>
      </c>
      <c r="W212" s="445">
        <v>0</v>
      </c>
      <c r="X212" s="446">
        <f>W212</f>
        <v>0</v>
      </c>
      <c r="Y212" s="437">
        <f>SUM(U212:X212)</f>
        <v>0</v>
      </c>
      <c r="Z212" s="446">
        <f>Y212</f>
        <v>0</v>
      </c>
      <c r="AA212" s="446">
        <f>Z212</f>
        <v>0</v>
      </c>
      <c r="AB212" s="446">
        <f>AA212</f>
        <v>0</v>
      </c>
      <c r="AC212" s="446">
        <f>AB212</f>
        <v>0</v>
      </c>
      <c r="AD212" s="437">
        <f>SUM(Z212:AC212)</f>
        <v>0</v>
      </c>
      <c r="AE212" s="447">
        <f>AD212</f>
        <v>0</v>
      </c>
      <c r="AF212" s="447">
        <f>AE212</f>
        <v>0</v>
      </c>
      <c r="AG212" s="447">
        <f>AF212</f>
        <v>0</v>
      </c>
      <c r="AH212" s="8"/>
      <c r="AI212" s="8"/>
      <c r="AJ212" s="8"/>
      <c r="AK212" s="8"/>
    </row>
    <row r="213" ht="13.5" customHeight="1" spans="1:37" x14ac:dyDescent="0.25">
      <c r="A213" s="257"/>
      <c r="B213" s="8"/>
      <c r="C213" s="442" t="s">
        <v>386</v>
      </c>
      <c r="D213" s="8"/>
      <c r="E213" s="8"/>
      <c r="F213" s="348">
        <f>F209-F211+F210</f>
        <v>15.1</v>
      </c>
      <c r="G213" s="348">
        <f>G209-G211+G210</f>
        <v>30.1</v>
      </c>
      <c r="H213" s="348">
        <f>H209-H211+H210</f>
        <v>47.400000000000006</v>
      </c>
      <c r="I213" s="348">
        <f>I209-I211+I210</f>
        <v>66</v>
      </c>
      <c r="J213" s="275">
        <f>J130</f>
        <v>496</v>
      </c>
      <c r="K213" s="348">
        <f>K209-K211+K210</f>
        <v>513.8</v>
      </c>
      <c r="L213" s="348">
        <f>L209-L211+L210</f>
        <v>532.5</v>
      </c>
      <c r="M213" s="348">
        <f>M209-M211+M210</f>
        <v>550.3</v>
      </c>
      <c r="N213" s="348">
        <f>N209-N211+N210</f>
        <v>575</v>
      </c>
      <c r="O213" s="275">
        <f>O130</f>
        <v>546</v>
      </c>
      <c r="P213" s="348">
        <f>P209-P211+P210</f>
        <v>567</v>
      </c>
      <c r="Q213" s="348">
        <f>Q209-Q211+Q210</f>
        <v>589</v>
      </c>
      <c r="R213" s="348">
        <f>R209-R211+R210</f>
        <v>611</v>
      </c>
      <c r="S213" s="348">
        <f>S209-S211+S210</f>
        <v>635</v>
      </c>
      <c r="T213" s="275">
        <f>S213</f>
        <v>635</v>
      </c>
      <c r="U213" s="348">
        <f>U209-U211+U210</f>
        <v>0</v>
      </c>
      <c r="V213" s="348">
        <f>V209-V211+V210</f>
        <v>0</v>
      </c>
      <c r="W213" s="348">
        <f>W209-W211+W210</f>
        <v>0</v>
      </c>
      <c r="X213" s="274">
        <f>SUM(X209:X212)</f>
        <v>0</v>
      </c>
      <c r="Y213" s="275">
        <f>X213</f>
        <v>0</v>
      </c>
      <c r="Z213" s="274">
        <f>SUM(Z209:Z212)</f>
        <v>0</v>
      </c>
      <c r="AA213" s="274">
        <f>SUM(AA209:AA212)</f>
        <v>0</v>
      </c>
      <c r="AB213" s="274">
        <f>SUM(AB209:AB212)</f>
        <v>0</v>
      </c>
      <c r="AC213" s="274">
        <f>SUM(AC209:AC212)</f>
        <v>0</v>
      </c>
      <c r="AD213" s="275">
        <f>AC213</f>
        <v>0</v>
      </c>
      <c r="AE213" s="275">
        <f>SUM(AE209:AE212)</f>
        <v>0</v>
      </c>
      <c r="AF213" s="275">
        <f>SUM(AF209:AF212)</f>
        <v>0</v>
      </c>
      <c r="AG213" s="275">
        <f>SUM(AG209:AG212)</f>
        <v>0</v>
      </c>
      <c r="AH213" s="8"/>
      <c r="AI213" s="8"/>
      <c r="AJ213" s="8"/>
      <c r="AK213" s="8"/>
    </row>
    <row r="214" ht="13.5" customHeight="1" spans="1:37" x14ac:dyDescent="0.25">
      <c r="A214" s="257"/>
      <c r="B214" s="8"/>
      <c r="C214" s="8"/>
      <c r="D214" s="8"/>
      <c r="E214" s="8"/>
      <c r="F214" s="348"/>
      <c r="G214" s="348"/>
      <c r="H214" s="348"/>
      <c r="I214" s="348"/>
      <c r="J214" s="275"/>
      <c r="K214" s="348"/>
      <c r="L214" s="348"/>
      <c r="M214" s="348"/>
      <c r="N214" s="348"/>
      <c r="O214" s="275"/>
      <c r="P214" s="348"/>
      <c r="Q214" s="348"/>
      <c r="R214" s="348"/>
      <c r="S214" s="348"/>
      <c r="T214" s="275"/>
      <c r="U214" s="348"/>
      <c r="V214" s="348"/>
      <c r="W214" s="348"/>
      <c r="X214" s="274"/>
      <c r="Y214" s="275"/>
      <c r="Z214" s="274"/>
      <c r="AA214" s="274"/>
      <c r="AB214" s="274"/>
      <c r="AC214" s="274"/>
      <c r="AD214" s="275"/>
      <c r="AE214" s="275"/>
      <c r="AF214" s="275"/>
      <c r="AG214" s="275"/>
      <c r="AH214" s="8"/>
      <c r="AI214" s="8"/>
      <c r="AJ214" s="8"/>
      <c r="AK214" s="8"/>
    </row>
    <row r="215" ht="13.5" customHeight="1" spans="1:37" x14ac:dyDescent="0.25">
      <c r="A215" s="257"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16"/>
      <c r="AH215" s="257" t="s">
        <v>3</v>
      </c>
      <c r="AI215" s="8"/>
      <c r="AJ215" s="8"/>
      <c r="AK215" s="8"/>
    </row>
    <row r="216" ht="13.5" customHeight="1" spans="1:37" x14ac:dyDescent="0.25">
      <c r="A216" s="257"/>
      <c r="B216" s="8"/>
      <c r="C216" s="8"/>
      <c r="D216" s="8"/>
      <c r="E216" s="8"/>
      <c r="F216" s="308"/>
      <c r="G216" s="308"/>
      <c r="H216" s="308"/>
      <c r="I216" s="308"/>
      <c r="J216" s="8"/>
      <c r="K216" s="308"/>
      <c r="L216" s="308"/>
      <c r="M216" s="308"/>
      <c r="N216" s="308"/>
      <c r="O216" s="8"/>
      <c r="P216" s="308"/>
      <c r="Q216" s="308"/>
      <c r="R216" s="308"/>
      <c r="S216" s="308"/>
      <c r="T216" s="8"/>
      <c r="U216" s="308"/>
      <c r="V216" s="308"/>
      <c r="W216" s="308"/>
      <c r="X216" s="309"/>
      <c r="Y216" s="8"/>
      <c r="Z216" s="309"/>
      <c r="AA216" s="309"/>
      <c r="AB216" s="309"/>
      <c r="AC216" s="309"/>
      <c r="AD216" s="8"/>
      <c r="AE216" s="8"/>
      <c r="AF216" s="8"/>
      <c r="AG216" s="8"/>
      <c r="AH216" s="8"/>
      <c r="AI216" s="8"/>
      <c r="AJ216" s="8"/>
      <c r="AK216" s="8"/>
    </row>
    <row r="217" ht="13.5" customHeight="1" spans="1:37" x14ac:dyDescent="0.25">
      <c r="A217" s="257"/>
      <c r="B217" s="8"/>
      <c r="C217" s="8" t="s">
        <v>387</v>
      </c>
      <c r="D217" s="8"/>
      <c r="E217" s="8"/>
      <c r="F217" s="417" t="e">
        <f>4*-F211/AVERAGE(E213:F213)</f>
        <v>#DIV/0!</v>
      </c>
      <c r="G217" s="417" t="e">
        <f>4*-G211/AVERAGE(F213:G213)</f>
        <v>#DIV/0!</v>
      </c>
      <c r="H217" s="417" t="e">
        <f>4*-H211/AVERAGE(G213:H213)</f>
        <v>#DIV/0!</v>
      </c>
      <c r="I217" s="417" t="e">
        <f>4*-I211/AVERAGE(H213:I213)</f>
        <v>#DIV/0!</v>
      </c>
      <c r="J217" s="418" t="e">
        <f>J211/AVERAGE(F209,I213)</f>
        <v>#DIV/0!</v>
      </c>
      <c r="K217" s="417" t="e">
        <f>4*-K211/AVERAGE(J213:K213)</f>
        <v>#DIV/0!</v>
      </c>
      <c r="L217" s="417" t="e">
        <f>4*-L211/AVERAGE(K213:L213)</f>
        <v>#DIV/0!</v>
      </c>
      <c r="M217" s="417" t="e">
        <f>4*-M211/AVERAGE(L213:M213)</f>
        <v>#DIV/0!</v>
      </c>
      <c r="N217" s="417" t="e">
        <f>4*-N211/AVERAGE(M213:N213)</f>
        <v>#DIV/0!</v>
      </c>
      <c r="O217" s="418" t="e">
        <f>O211/AVERAGE(K209,N213)</f>
        <v>#DIV/0!</v>
      </c>
      <c r="P217" s="417" t="e">
        <f>4*-P211/AVERAGE(O213:P213)</f>
        <v>#DIV/0!</v>
      </c>
      <c r="Q217" s="417" t="e">
        <f>4*-Q211/AVERAGE(P213:Q213)</f>
        <v>#DIV/0!</v>
      </c>
      <c r="R217" s="417" t="e">
        <f>4*-R211/AVERAGE(Q213:R213)</f>
        <v>#DIV/0!</v>
      </c>
      <c r="S217" s="417" t="e">
        <f>4*-S211/AVERAGE(R213:S213)</f>
        <v>#DIV/0!</v>
      </c>
      <c r="T217" s="418" t="e">
        <f>T211/AVERAGE(P209,S213)</f>
        <v>#DIV/0!</v>
      </c>
      <c r="U217" s="417" t="e">
        <f>4*-U211/AVERAGE(T213:U213)</f>
        <v>#DIV/0!</v>
      </c>
      <c r="V217" s="417" t="e">
        <f>4*-V211/AVERAGE(U213:V213)</f>
        <v>#DIV/0!</v>
      </c>
      <c r="W217" s="417" t="e">
        <f>4*-W211/AVERAGE(V213:W213)</f>
        <v>#DIV/0!</v>
      </c>
      <c r="X217" s="448">
        <f>Drivers!X85</f>
        <v>0</v>
      </c>
      <c r="Y217" s="418" t="e">
        <f>Y211/AVERAGE(U209,X213)</f>
        <v>#DIV/0!</v>
      </c>
      <c r="Z217" s="448">
        <f>Drivers!Z85</f>
        <v>0</v>
      </c>
      <c r="AA217" s="448">
        <f>Drivers!AA85</f>
        <v>0</v>
      </c>
      <c r="AB217" s="448">
        <f>Drivers!AB85</f>
        <v>0</v>
      </c>
      <c r="AC217" s="448">
        <f>Drivers!AC85</f>
        <v>0</v>
      </c>
      <c r="AD217" s="418" t="e">
        <f>AD211/AVERAGE(Z209,AC213)</f>
        <v>#DIV/0!</v>
      </c>
      <c r="AE217" s="449">
        <f>Drivers!AE85</f>
        <v>0</v>
      </c>
      <c r="AF217" s="449">
        <f>Drivers!AF85</f>
        <v>0</v>
      </c>
      <c r="AG217" s="449">
        <f>Drivers!AG85</f>
        <v>0</v>
      </c>
      <c r="AH217" s="8"/>
      <c r="AI217" s="8"/>
      <c r="AJ217" s="8"/>
      <c r="AK217" s="8"/>
    </row>
    <row r="218" ht="13.5" customHeight="1" spans="1:37" x14ac:dyDescent="0.25">
      <c r="A218" s="257"/>
      <c r="B218" s="8"/>
      <c r="C218" s="8"/>
      <c r="D218" s="8"/>
      <c r="E218" s="8"/>
      <c r="F218" s="308"/>
      <c r="G218" s="308"/>
      <c r="H218" s="308"/>
      <c r="I218" s="308"/>
      <c r="J218" s="8"/>
      <c r="K218" s="308"/>
      <c r="L218" s="308"/>
      <c r="M218" s="308"/>
      <c r="N218" s="308"/>
      <c r="O218" s="8"/>
      <c r="P218" s="308"/>
      <c r="Q218" s="308"/>
      <c r="R218" s="308"/>
      <c r="S218" s="308"/>
      <c r="T218" s="8"/>
      <c r="U218" s="308"/>
      <c r="V218" s="308"/>
      <c r="W218" s="308"/>
      <c r="X218" s="309"/>
      <c r="Y218" s="8"/>
      <c r="Z218" s="309"/>
      <c r="AA218" s="309"/>
      <c r="AB218" s="309"/>
      <c r="AC218" s="309"/>
      <c r="AD218" s="8"/>
      <c r="AE218" s="8"/>
      <c r="AF218" s="8"/>
      <c r="AG218" s="8"/>
      <c r="AH218" s="8"/>
      <c r="AI218" s="8"/>
      <c r="AJ218" s="8"/>
      <c r="AK218" s="8"/>
    </row>
    <row r="219" ht="13.5" customHeight="1" spans="1:37" x14ac:dyDescent="0.25">
      <c r="A219" s="257" t="s">
        <v>3</v>
      </c>
      <c r="B219" s="40"/>
      <c r="C219" s="53" t="s">
        <v>388</v>
      </c>
      <c r="D219" s="11"/>
      <c r="E219" s="11"/>
      <c r="F219" s="54">
        <f t="shared" ref="F219:AG219" si="63">F$65</f>
        <v>0</v>
      </c>
      <c r="G219" s="54">
        <f t="shared" si="63"/>
        <v>0</v>
      </c>
      <c r="H219" s="54">
        <f t="shared" si="63"/>
        <v>0</v>
      </c>
      <c r="I219" s="54">
        <f t="shared" si="63"/>
        <v>0</v>
      </c>
      <c r="J219" s="54">
        <f t="shared" si="63"/>
        <v>2023</v>
      </c>
      <c r="K219" s="54">
        <f t="shared" si="63"/>
        <v>0</v>
      </c>
      <c r="L219" s="54">
        <f t="shared" si="63"/>
        <v>0</v>
      </c>
      <c r="M219" s="54">
        <f t="shared" si="63"/>
        <v>0</v>
      </c>
      <c r="N219" s="54">
        <f t="shared" si="63"/>
        <v>0</v>
      </c>
      <c r="O219" s="54">
        <f t="shared" si="63"/>
        <v>2024</v>
      </c>
      <c r="P219" s="54">
        <f t="shared" si="63"/>
        <v>0</v>
      </c>
      <c r="Q219" s="54">
        <f t="shared" si="63"/>
        <v>0</v>
      </c>
      <c r="R219" s="54">
        <f t="shared" si="63"/>
        <v>0</v>
      </c>
      <c r="S219" s="54">
        <f t="shared" si="63"/>
        <v>0</v>
      </c>
      <c r="T219" s="54">
        <f t="shared" si="63"/>
        <v>2025</v>
      </c>
      <c r="U219" s="54" t="str">
        <f t="shared" si="63"/>
        <v>1Q26e</v>
      </c>
      <c r="V219" s="54" t="str">
        <f t="shared" si="63"/>
        <v>2Q26e</v>
      </c>
      <c r="W219" s="54" t="str">
        <f t="shared" si="63"/>
        <v>3Q26</v>
      </c>
      <c r="X219" s="54" t="str">
        <f t="shared" si="63"/>
        <v>4Q26e</v>
      </c>
      <c r="Y219" s="54" t="str">
        <f t="shared" si="63"/>
        <v>2026e</v>
      </c>
      <c r="Z219" s="54" t="str">
        <f t="shared" si="63"/>
        <v>1Q27e</v>
      </c>
      <c r="AA219" s="54" t="str">
        <f t="shared" si="63"/>
        <v>2Q27e</v>
      </c>
      <c r="AB219" s="54" t="str">
        <f t="shared" si="63"/>
        <v>3Q27e</v>
      </c>
      <c r="AC219" s="54" t="str">
        <f t="shared" si="63"/>
        <v>4Q27e</v>
      </c>
      <c r="AD219" s="54" t="str">
        <f t="shared" si="63"/>
        <v>2027e</v>
      </c>
      <c r="AE219" s="54" t="str">
        <f t="shared" si="63"/>
        <v>2028e</v>
      </c>
      <c r="AF219" s="54" t="str">
        <f t="shared" si="63"/>
        <v>2029e</v>
      </c>
      <c r="AG219" s="55" t="str">
        <f t="shared" si="63"/>
        <v>2030e</v>
      </c>
      <c r="AH219" s="257" t="s">
        <v>3</v>
      </c>
      <c r="AI219" s="8"/>
      <c r="AJ219" s="8"/>
      <c r="AK219" s="8"/>
    </row>
    <row r="220" ht="13.5" customHeight="1" spans="1:37" x14ac:dyDescent="0.25">
      <c r="A220" s="257"/>
      <c r="B220" s="8"/>
      <c r="C220" s="8"/>
      <c r="D220" s="8"/>
      <c r="E220" s="8"/>
      <c r="F220" s="308"/>
      <c r="G220" s="308"/>
      <c r="H220" s="308"/>
      <c r="I220" s="308"/>
      <c r="J220" s="8"/>
      <c r="K220" s="308"/>
      <c r="L220" s="308"/>
      <c r="M220" s="308"/>
      <c r="N220" s="308"/>
      <c r="O220" s="8"/>
      <c r="P220" s="308"/>
      <c r="Q220" s="308"/>
      <c r="R220" s="308"/>
      <c r="S220" s="308"/>
      <c r="T220" s="8"/>
      <c r="U220" s="308"/>
      <c r="V220" s="308"/>
      <c r="W220" s="308"/>
      <c r="X220" s="309"/>
      <c r="Y220" s="8"/>
      <c r="Z220" s="309"/>
      <c r="AA220" s="309"/>
      <c r="AB220" s="309"/>
      <c r="AC220" s="309"/>
      <c r="AD220" s="8"/>
      <c r="AE220" s="8"/>
      <c r="AF220" s="8"/>
      <c r="AG220" s="8"/>
      <c r="AH220" s="8"/>
      <c r="AI220" s="8"/>
      <c r="AJ220" s="8"/>
      <c r="AK220" s="8"/>
    </row>
    <row r="221" ht="13.5" customHeight="1" spans="1:37" x14ac:dyDescent="0.25">
      <c r="A221" s="257"/>
      <c r="B221" s="8"/>
      <c r="C221" s="130" t="s">
        <v>338</v>
      </c>
      <c r="D221" s="8"/>
      <c r="E221" s="8"/>
      <c r="F221" s="348">
        <f t="shared" ref="F221:J222" si="64">F131</f>
        <v>14622.2</v>
      </c>
      <c r="G221" s="348">
        <f t="shared" si="64"/>
        <v>15353.6</v>
      </c>
      <c r="H221" s="348">
        <f t="shared" si="64"/>
        <v>15290.7</v>
      </c>
      <c r="I221" s="348">
        <f t="shared" si="64"/>
        <v>15834</v>
      </c>
      <c r="J221" s="275">
        <f t="shared" si="64"/>
        <v>15834</v>
      </c>
      <c r="K221" s="348">
        <f t="shared" ref="K221:V221" si="65">K131</f>
        <v>15852.3</v>
      </c>
      <c r="L221" s="348">
        <f t="shared" si="65"/>
        <v>15864.9</v>
      </c>
      <c r="M221" s="348">
        <f>M131</f>
        <v>15883.1</v>
      </c>
      <c r="N221" s="348">
        <f t="shared" si="65"/>
        <v>15982</v>
      </c>
      <c r="O221" s="275">
        <f t="shared" si="65"/>
        <v>15982</v>
      </c>
      <c r="P221" s="348">
        <f t="shared" si="65"/>
        <v>16585</v>
      </c>
      <c r="Q221" s="348">
        <f t="shared" si="65"/>
        <v>16626</v>
      </c>
      <c r="R221" s="348">
        <f t="shared" si="65"/>
        <v>16699</v>
      </c>
      <c r="S221" s="348">
        <f t="shared" si="65"/>
        <v>16715</v>
      </c>
      <c r="T221" s="275">
        <f t="shared" si="65"/>
        <v>16715</v>
      </c>
      <c r="U221" s="348">
        <f t="shared" si="65"/>
        <v>0</v>
      </c>
      <c r="V221" s="348">
        <f t="shared" si="65"/>
        <v>0</v>
      </c>
      <c r="W221" s="348">
        <f>W131</f>
        <v>0</v>
      </c>
      <c r="X221" s="274">
        <f>Drivers!X62+W221</f>
        <v>0</v>
      </c>
      <c r="Y221" s="275">
        <f>X221</f>
        <v>0</v>
      </c>
      <c r="Z221" s="274">
        <f>Drivers!Z62+Y221</f>
        <v>0</v>
      </c>
      <c r="AA221" s="274">
        <f>Drivers!AA62+Z221</f>
        <v>0</v>
      </c>
      <c r="AB221" s="274">
        <f>Drivers!AB62+AA221</f>
        <v>0</v>
      </c>
      <c r="AC221" s="274">
        <f>Drivers!AC62+AB221</f>
        <v>0</v>
      </c>
      <c r="AD221" s="275">
        <f>AC221</f>
        <v>0</v>
      </c>
      <c r="AE221" s="275">
        <f>Drivers!AE62+AD221</f>
        <v>0</v>
      </c>
      <c r="AF221" s="275">
        <f>Drivers!AF62+AE221</f>
        <v>0</v>
      </c>
      <c r="AG221" s="275">
        <f>Drivers!AG62+AF221</f>
        <v>0</v>
      </c>
      <c r="AH221" s="8"/>
      <c r="AI221" s="8"/>
      <c r="AJ221" s="8"/>
      <c r="AK221" s="8"/>
    </row>
    <row r="222" ht="13.5" customHeight="1" spans="1:37" x14ac:dyDescent="0.25">
      <c r="A222" s="257"/>
      <c r="B222" s="8"/>
      <c r="C222" s="130" t="s">
        <v>339</v>
      </c>
      <c r="D222" s="8"/>
      <c r="E222" s="8"/>
      <c r="F222" s="385">
        <f t="shared" si="64"/>
        <v>1203.7</v>
      </c>
      <c r="G222" s="385">
        <f t="shared" si="64"/>
        <v>1214.8</v>
      </c>
      <c r="H222" s="385">
        <f t="shared" si="64"/>
        <v>1255.1</v>
      </c>
      <c r="I222" s="385">
        <f t="shared" si="64"/>
        <v>1348</v>
      </c>
      <c r="J222" s="351">
        <f t="shared" si="64"/>
        <v>1348</v>
      </c>
      <c r="K222" s="385">
        <f t="shared" ref="K222:V222" si="66">K132</f>
        <v>1463</v>
      </c>
      <c r="L222" s="385">
        <f t="shared" si="66"/>
        <v>1499.5</v>
      </c>
      <c r="M222" s="385">
        <f t="shared" si="66"/>
        <v>1602.1</v>
      </c>
      <c r="N222" s="385">
        <f t="shared" si="66"/>
        <v>1591</v>
      </c>
      <c r="O222" s="351">
        <f t="shared" si="66"/>
        <v>1591</v>
      </c>
      <c r="P222" s="385">
        <f t="shared" si="66"/>
        <v>1616</v>
      </c>
      <c r="Q222" s="385">
        <f t="shared" si="66"/>
        <v>1694</v>
      </c>
      <c r="R222" s="385">
        <f t="shared" si="66"/>
        <v>1815</v>
      </c>
      <c r="S222" s="385">
        <f t="shared" si="66"/>
        <v>1834</v>
      </c>
      <c r="T222" s="351">
        <f t="shared" si="66"/>
        <v>1834</v>
      </c>
      <c r="U222" s="385">
        <f t="shared" si="66"/>
        <v>0</v>
      </c>
      <c r="V222" s="385">
        <f t="shared" si="66"/>
        <v>0</v>
      </c>
      <c r="W222" s="385">
        <f>W132</f>
        <v>0</v>
      </c>
      <c r="X222" s="353">
        <f>W222*(1+X235)</f>
        <v>0</v>
      </c>
      <c r="Y222" s="351">
        <f>X222</f>
        <v>0</v>
      </c>
      <c r="Z222" s="353">
        <f>Y222*(1+Z235)</f>
        <v>0</v>
      </c>
      <c r="AA222" s="353">
        <f>Z222*(1+AA235)</f>
        <v>0</v>
      </c>
      <c r="AB222" s="353">
        <f>AA222*(1+AB235)</f>
        <v>0</v>
      </c>
      <c r="AC222" s="353">
        <f>AB222*(1+AC235)</f>
        <v>0</v>
      </c>
      <c r="AD222" s="351">
        <f>AC222</f>
        <v>0</v>
      </c>
      <c r="AE222" s="351">
        <f>AD222*(1+AE235)</f>
        <v>0</v>
      </c>
      <c r="AF222" s="351">
        <f>AE222*(1+AF235)</f>
        <v>0</v>
      </c>
      <c r="AG222" s="351">
        <f>AF222*(1+AG235)</f>
        <v>0</v>
      </c>
      <c r="AH222" s="8"/>
      <c r="AI222" s="8"/>
      <c r="AJ222" s="8"/>
      <c r="AK222" s="8"/>
    </row>
    <row r="223" ht="13.5" customHeight="1" spans="1:37" x14ac:dyDescent="0.25">
      <c r="A223" s="257"/>
      <c r="B223" s="8"/>
      <c r="C223" s="8" t="s">
        <v>389</v>
      </c>
      <c r="D223" s="8"/>
      <c r="E223" s="8"/>
      <c r="F223" s="348">
        <f>SUM(F221:F222)</f>
        <v>15825.900000000001</v>
      </c>
      <c r="G223" s="348">
        <f>SUM(G221:G222)</f>
        <v>16568.4</v>
      </c>
      <c r="H223" s="348">
        <f>SUM(H221:H222)</f>
        <v>16545.8</v>
      </c>
      <c r="I223" s="348">
        <f>SUM(I221:I222)</f>
        <v>17182</v>
      </c>
      <c r="J223" s="275">
        <f>SUM(J221:J222)</f>
        <v>17182</v>
      </c>
      <c r="K223" s="348">
        <f t="shared" ref="K223:AG223" si="67">SUM(K221:K222)</f>
        <v>17315.3</v>
      </c>
      <c r="L223" s="348">
        <f t="shared" si="67"/>
        <v>17364.4</v>
      </c>
      <c r="M223" s="348">
        <f t="shared" si="67"/>
        <v>17485.2</v>
      </c>
      <c r="N223" s="348">
        <f t="shared" si="67"/>
        <v>17573</v>
      </c>
      <c r="O223" s="275">
        <f t="shared" si="67"/>
        <v>17573</v>
      </c>
      <c r="P223" s="348">
        <f t="shared" si="67"/>
        <v>18201</v>
      </c>
      <c r="Q223" s="348">
        <f t="shared" si="67"/>
        <v>18320</v>
      </c>
      <c r="R223" s="348">
        <f t="shared" si="67"/>
        <v>18514</v>
      </c>
      <c r="S223" s="348">
        <f t="shared" si="67"/>
        <v>18549</v>
      </c>
      <c r="T223" s="275">
        <f t="shared" si="67"/>
        <v>18549</v>
      </c>
      <c r="U223" s="348">
        <f t="shared" si="67"/>
        <v>0</v>
      </c>
      <c r="V223" s="348">
        <f t="shared" si="67"/>
        <v>0</v>
      </c>
      <c r="W223" s="348">
        <f>SUM(W221:W222)</f>
        <v>0</v>
      </c>
      <c r="X223" s="274">
        <f t="shared" si="67"/>
        <v>0</v>
      </c>
      <c r="Y223" s="275">
        <f t="shared" si="67"/>
        <v>0</v>
      </c>
      <c r="Z223" s="274">
        <f t="shared" si="67"/>
        <v>0</v>
      </c>
      <c r="AA223" s="274">
        <f t="shared" si="67"/>
        <v>0</v>
      </c>
      <c r="AB223" s="274">
        <f t="shared" si="67"/>
        <v>0</v>
      </c>
      <c r="AC223" s="274">
        <f t="shared" si="67"/>
        <v>0</v>
      </c>
      <c r="AD223" s="275">
        <f t="shared" si="67"/>
        <v>0</v>
      </c>
      <c r="AE223" s="275">
        <f t="shared" si="67"/>
        <v>0</v>
      </c>
      <c r="AF223" s="275">
        <f t="shared" si="67"/>
        <v>0</v>
      </c>
      <c r="AG223" s="275">
        <f t="shared" si="67"/>
        <v>0</v>
      </c>
      <c r="AH223" s="8"/>
      <c r="AI223" s="8"/>
      <c r="AJ223" s="8"/>
      <c r="AK223" s="8"/>
    </row>
    <row r="224" ht="13.5" customHeight="1" spans="1:37" x14ac:dyDescent="0.25">
      <c r="A224" s="295"/>
      <c r="B224" s="296"/>
      <c r="C224" s="111" t="s">
        <v>390</v>
      </c>
      <c r="D224" s="296"/>
      <c r="E224" s="296"/>
      <c r="F224" s="450">
        <f>F223-E223</f>
        <v>15825.900000000001</v>
      </c>
      <c r="G224" s="450">
        <f>G223-F223</f>
        <v>742.5</v>
      </c>
      <c r="H224" s="450">
        <f>H223-G223</f>
        <v>-22.600000000002183</v>
      </c>
      <c r="I224" s="450">
        <f>I223-H223</f>
        <v>636.2000000000007</v>
      </c>
      <c r="J224" s="451">
        <f>J223-E223</f>
        <v>17182</v>
      </c>
      <c r="K224" s="450">
        <f>K223-J223</f>
        <v>133.29999999999927</v>
      </c>
      <c r="L224" s="450">
        <f>L223-K223</f>
        <v>49.10000000000218</v>
      </c>
      <c r="M224" s="450">
        <f>M223-L223</f>
        <v>120.79999999999927</v>
      </c>
      <c r="N224" s="450">
        <f>N223-M223</f>
        <v>87.79999999999927</v>
      </c>
      <c r="O224" s="451">
        <f>O223-J223</f>
        <v>391</v>
      </c>
      <c r="P224" s="450">
        <f>P223-O223</f>
        <v>628</v>
      </c>
      <c r="Q224" s="450">
        <f>Q223-P223</f>
        <v>119</v>
      </c>
      <c r="R224" s="450">
        <f>R223-Q223</f>
        <v>194</v>
      </c>
      <c r="S224" s="450">
        <f>S223-R223</f>
        <v>35</v>
      </c>
      <c r="T224" s="451">
        <f>T223-O223</f>
        <v>976</v>
      </c>
      <c r="U224" s="450">
        <f>U223-T223</f>
        <v>0</v>
      </c>
      <c r="V224" s="450">
        <f>V223-U223</f>
        <v>0</v>
      </c>
      <c r="W224" s="450">
        <f>W223-V223</f>
        <v>0</v>
      </c>
      <c r="X224" s="452">
        <f>X223-W223</f>
        <v>0</v>
      </c>
      <c r="Y224" s="451">
        <f>Y223-T223</f>
        <v>0</v>
      </c>
      <c r="Z224" s="452">
        <f>Z223-Y223</f>
        <v>0</v>
      </c>
      <c r="AA224" s="452">
        <f>AA223-Z223</f>
        <v>0</v>
      </c>
      <c r="AB224" s="452">
        <f>AB223-AA223</f>
        <v>0</v>
      </c>
      <c r="AC224" s="452">
        <f>AC223-AB223</f>
        <v>0</v>
      </c>
      <c r="AD224" s="451">
        <f>AD223-Y223</f>
        <v>0</v>
      </c>
      <c r="AE224" s="451">
        <f>AE223-AD223</f>
        <v>0</v>
      </c>
      <c r="AF224" s="451">
        <f>AF223-AE223</f>
        <v>0</v>
      </c>
      <c r="AG224" s="451">
        <f>AG223-AF223</f>
        <v>0</v>
      </c>
      <c r="AH224" s="296"/>
      <c r="AI224" s="296"/>
      <c r="AJ224" s="296"/>
      <c r="AK224" s="296"/>
    </row>
    <row r="225" ht="13.5" customHeight="1" spans="1:37" x14ac:dyDescent="0.25">
      <c r="A225" s="257"/>
      <c r="B225" s="8"/>
      <c r="C225" s="8"/>
      <c r="D225" s="8"/>
      <c r="E225" s="8"/>
      <c r="F225" s="308"/>
      <c r="G225" s="308"/>
      <c r="H225" s="308"/>
      <c r="I225" s="308"/>
      <c r="J225" s="8"/>
      <c r="K225" s="308"/>
      <c r="L225" s="308"/>
      <c r="M225" s="308"/>
      <c r="N225" s="308"/>
      <c r="O225" s="8"/>
      <c r="P225" s="308"/>
      <c r="Q225" s="308"/>
      <c r="R225" s="308"/>
      <c r="S225" s="308"/>
      <c r="T225" s="8"/>
      <c r="U225" s="308"/>
      <c r="V225" s="308"/>
      <c r="W225" s="308"/>
      <c r="X225" s="309"/>
      <c r="Y225" s="8"/>
      <c r="Z225" s="309"/>
      <c r="AA225" s="309"/>
      <c r="AB225" s="309"/>
      <c r="AC225" s="309"/>
      <c r="AD225" s="8"/>
      <c r="AE225" s="8"/>
      <c r="AF225" s="8"/>
      <c r="AG225" s="8"/>
      <c r="AH225" s="8"/>
      <c r="AI225" s="8"/>
      <c r="AJ225" s="8"/>
      <c r="AK225" s="8"/>
    </row>
    <row r="226" ht="13.5" customHeight="1" spans="1:37" x14ac:dyDescent="0.25">
      <c r="A226" s="257"/>
      <c r="B226" s="8"/>
      <c r="C226" s="130" t="s">
        <v>391</v>
      </c>
      <c r="D226" s="8"/>
      <c r="E226" s="8"/>
      <c r="F226" s="348">
        <f t="shared" ref="F226:J227" si="68">F144</f>
        <v>0</v>
      </c>
      <c r="G226" s="348">
        <f t="shared" si="68"/>
        <v>0</v>
      </c>
      <c r="H226" s="348">
        <f t="shared" si="68"/>
        <v>0</v>
      </c>
      <c r="I226" s="348">
        <f t="shared" si="68"/>
        <v>0</v>
      </c>
      <c r="J226" s="275">
        <f t="shared" si="68"/>
        <v>0</v>
      </c>
      <c r="K226" s="348">
        <f t="shared" ref="K226:V226" si="69">K144</f>
        <v>0</v>
      </c>
      <c r="L226" s="348">
        <f t="shared" si="69"/>
        <v>0</v>
      </c>
      <c r="M226" s="348">
        <f t="shared" si="69"/>
        <v>0</v>
      </c>
      <c r="N226" s="348">
        <f t="shared" si="69"/>
        <v>0</v>
      </c>
      <c r="O226" s="275">
        <f t="shared" si="69"/>
        <v>0</v>
      </c>
      <c r="P226" s="348">
        <f t="shared" si="69"/>
        <v>0</v>
      </c>
      <c r="Q226" s="348">
        <f t="shared" si="69"/>
        <v>0</v>
      </c>
      <c r="R226" s="348">
        <f t="shared" si="69"/>
        <v>0</v>
      </c>
      <c r="S226" s="348">
        <f t="shared" si="69"/>
        <v>0</v>
      </c>
      <c r="T226" s="275">
        <f t="shared" si="69"/>
        <v>0</v>
      </c>
      <c r="U226" s="348">
        <f t="shared" si="69"/>
        <v>0</v>
      </c>
      <c r="V226" s="348">
        <f t="shared" si="69"/>
        <v>0</v>
      </c>
      <c r="W226" s="348">
        <f>W144</f>
        <v>0</v>
      </c>
      <c r="X226" s="274">
        <f>W226-102.8</f>
        <v>-102.8</v>
      </c>
      <c r="Y226" s="275">
        <f>X226</f>
        <v>-102.8</v>
      </c>
      <c r="Z226" s="274">
        <f>Y226</f>
        <v>-102.8</v>
      </c>
      <c r="AA226" s="274">
        <f t="shared" ref="AA226:AG226" si="70">Z226</f>
        <v>-102.8</v>
      </c>
      <c r="AB226" s="274">
        <f t="shared" si="70"/>
        <v>-102.8</v>
      </c>
      <c r="AC226" s="274">
        <f t="shared" si="70"/>
        <v>-102.8</v>
      </c>
      <c r="AD226" s="275">
        <f t="shared" si="70"/>
        <v>-102.8</v>
      </c>
      <c r="AE226" s="275">
        <f t="shared" si="70"/>
        <v>-102.8</v>
      </c>
      <c r="AF226" s="275">
        <f t="shared" si="70"/>
        <v>-102.8</v>
      </c>
      <c r="AG226" s="275">
        <f t="shared" si="70"/>
        <v>-102.8</v>
      </c>
      <c r="AH226" s="8"/>
      <c r="AI226" s="8"/>
      <c r="AJ226" s="8"/>
      <c r="AK226" s="8"/>
    </row>
    <row r="227" ht="13.5" customHeight="1" spans="1:37" x14ac:dyDescent="0.25">
      <c r="A227" s="257"/>
      <c r="B227" s="8"/>
      <c r="C227" s="130" t="s">
        <v>349</v>
      </c>
      <c r="D227" s="8"/>
      <c r="E227" s="8"/>
      <c r="F227" s="385">
        <f t="shared" si="68"/>
        <v>5575.700000000006</v>
      </c>
      <c r="G227" s="385">
        <f t="shared" si="68"/>
        <v>5674.800000000004</v>
      </c>
      <c r="H227" s="385">
        <f t="shared" si="68"/>
        <v>6004.400000000003</v>
      </c>
      <c r="I227" s="385">
        <f t="shared" si="68"/>
        <v>5917.200000000001</v>
      </c>
      <c r="J227" s="351">
        <f t="shared" si="68"/>
        <v>5917.200000000001</v>
      </c>
      <c r="K227" s="385">
        <f t="shared" ref="K227:V227" si="71">K145</f>
        <v>5852.500000000002</v>
      </c>
      <c r="L227" s="385">
        <f t="shared" si="71"/>
        <v>6168.199999999997</v>
      </c>
      <c r="M227" s="385">
        <f t="shared" si="71"/>
        <v>6289.300000000003</v>
      </c>
      <c r="N227" s="385">
        <f t="shared" si="71"/>
        <v>5869</v>
      </c>
      <c r="O227" s="351">
        <f t="shared" si="71"/>
        <v>5869</v>
      </c>
      <c r="P227" s="385">
        <f t="shared" si="71"/>
        <v>6245</v>
      </c>
      <c r="Q227" s="385">
        <f t="shared" si="71"/>
        <v>6391</v>
      </c>
      <c r="R227" s="385">
        <f t="shared" si="71"/>
        <v>6558</v>
      </c>
      <c r="S227" s="385">
        <f t="shared" si="71"/>
        <v>6408</v>
      </c>
      <c r="T227" s="351">
        <f t="shared" si="71"/>
        <v>6408</v>
      </c>
      <c r="U227" s="385">
        <f t="shared" si="71"/>
        <v>0</v>
      </c>
      <c r="V227" s="385">
        <f t="shared" si="71"/>
        <v>0</v>
      </c>
      <c r="W227" s="385">
        <f>W145</f>
        <v>0</v>
      </c>
      <c r="X227" s="353">
        <f t="shared" ref="X227:AG227" si="72">W227</f>
        <v>0</v>
      </c>
      <c r="Y227" s="351">
        <f t="shared" si="72"/>
        <v>0</v>
      </c>
      <c r="Z227" s="353">
        <f t="shared" si="72"/>
        <v>0</v>
      </c>
      <c r="AA227" s="353">
        <f t="shared" si="72"/>
        <v>0</v>
      </c>
      <c r="AB227" s="353">
        <f t="shared" si="72"/>
        <v>0</v>
      </c>
      <c r="AC227" s="353">
        <f t="shared" si="72"/>
        <v>0</v>
      </c>
      <c r="AD227" s="351">
        <f t="shared" si="72"/>
        <v>0</v>
      </c>
      <c r="AE227" s="351">
        <f t="shared" si="72"/>
        <v>0</v>
      </c>
      <c r="AF227" s="351">
        <f t="shared" si="72"/>
        <v>0</v>
      </c>
      <c r="AG227" s="351">
        <f t="shared" si="72"/>
        <v>0</v>
      </c>
      <c r="AH227" s="8"/>
      <c r="AI227" s="8"/>
      <c r="AJ227" s="8"/>
      <c r="AK227" s="8"/>
    </row>
    <row r="228" ht="13.5" customHeight="1" spans="1:37" x14ac:dyDescent="0.25">
      <c r="A228" s="257"/>
      <c r="B228" s="8"/>
      <c r="C228" s="8" t="s">
        <v>392</v>
      </c>
      <c r="D228" s="8"/>
      <c r="E228" s="8"/>
      <c r="F228" s="348">
        <f>SUM(F226:F227)</f>
        <v>5575.700000000006</v>
      </c>
      <c r="G228" s="348">
        <f>SUM(G226:G227)</f>
        <v>5674.800000000004</v>
      </c>
      <c r="H228" s="348">
        <f>SUM(H226:H227)</f>
        <v>6004.400000000003</v>
      </c>
      <c r="I228" s="348">
        <f>SUM(I226:I227)</f>
        <v>5917.200000000001</v>
      </c>
      <c r="J228" s="275">
        <f>SUM(J226:J227)</f>
        <v>5917.200000000001</v>
      </c>
      <c r="K228" s="348">
        <f t="shared" ref="K228:AG228" si="73">SUM(K226:K227)</f>
        <v>5852.500000000002</v>
      </c>
      <c r="L228" s="348">
        <f t="shared" si="73"/>
        <v>6168.199999999997</v>
      </c>
      <c r="M228" s="348">
        <f t="shared" si="73"/>
        <v>6289.300000000003</v>
      </c>
      <c r="N228" s="348">
        <f t="shared" si="73"/>
        <v>5869</v>
      </c>
      <c r="O228" s="275">
        <f t="shared" si="73"/>
        <v>5869</v>
      </c>
      <c r="P228" s="348">
        <f t="shared" si="73"/>
        <v>6245</v>
      </c>
      <c r="Q228" s="348">
        <f t="shared" si="73"/>
        <v>6391</v>
      </c>
      <c r="R228" s="348">
        <f t="shared" si="73"/>
        <v>6558</v>
      </c>
      <c r="S228" s="348">
        <f t="shared" si="73"/>
        <v>6408</v>
      </c>
      <c r="T228" s="275">
        <f t="shared" si="73"/>
        <v>6408</v>
      </c>
      <c r="U228" s="348">
        <f t="shared" si="73"/>
        <v>0</v>
      </c>
      <c r="V228" s="348">
        <f t="shared" si="73"/>
        <v>0</v>
      </c>
      <c r="W228" s="348">
        <f>SUM(W226:W227)</f>
        <v>0</v>
      </c>
      <c r="X228" s="274">
        <f t="shared" si="73"/>
        <v>-102.8</v>
      </c>
      <c r="Y228" s="275">
        <f t="shared" si="73"/>
        <v>-102.8</v>
      </c>
      <c r="Z228" s="274">
        <f t="shared" si="73"/>
        <v>-102.8</v>
      </c>
      <c r="AA228" s="274">
        <f t="shared" si="73"/>
        <v>-102.8</v>
      </c>
      <c r="AB228" s="274">
        <f t="shared" si="73"/>
        <v>-102.8</v>
      </c>
      <c r="AC228" s="274">
        <f t="shared" si="73"/>
        <v>-102.8</v>
      </c>
      <c r="AD228" s="275">
        <f t="shared" si="73"/>
        <v>-102.8</v>
      </c>
      <c r="AE228" s="275">
        <f t="shared" si="73"/>
        <v>-102.8</v>
      </c>
      <c r="AF228" s="275">
        <f t="shared" si="73"/>
        <v>-102.8</v>
      </c>
      <c r="AG228" s="275">
        <f t="shared" si="73"/>
        <v>-102.8</v>
      </c>
      <c r="AH228" s="8"/>
      <c r="AI228" s="8"/>
      <c r="AJ228" s="8"/>
      <c r="AK228" s="8"/>
    </row>
    <row r="229" ht="13.5" customHeight="1" spans="1:37" x14ac:dyDescent="0.25">
      <c r="A229" s="295"/>
      <c r="B229" s="296"/>
      <c r="C229" s="111" t="s">
        <v>393</v>
      </c>
      <c r="D229" s="296"/>
      <c r="E229" s="296"/>
      <c r="F229" s="450">
        <f>F228-E228</f>
        <v>5575.700000000006</v>
      </c>
      <c r="G229" s="450">
        <f>G228-F228</f>
        <v>99.09999999999764</v>
      </c>
      <c r="H229" s="450">
        <f>H228-G228</f>
        <v>329.59999999999945</v>
      </c>
      <c r="I229" s="450">
        <f>I228-H228</f>
        <v>-87.20000000000255</v>
      </c>
      <c r="J229" s="451">
        <f>J228-E228</f>
        <v>5917.200000000001</v>
      </c>
      <c r="K229" s="450">
        <f>K228-J228</f>
        <v>-64.69999999999891</v>
      </c>
      <c r="L229" s="450">
        <f>L228-K228</f>
        <v>315.69999999999527</v>
      </c>
      <c r="M229" s="450">
        <f>M228-L228</f>
        <v>121.10000000000582</v>
      </c>
      <c r="N229" s="450">
        <f>N228-M228</f>
        <v>-420.3000000000029</v>
      </c>
      <c r="O229" s="451">
        <f>O228-J228</f>
        <v>-48.20000000000073</v>
      </c>
      <c r="P229" s="450">
        <f>P228-O228</f>
        <v>376</v>
      </c>
      <c r="Q229" s="450">
        <f>Q228-P228</f>
        <v>146</v>
      </c>
      <c r="R229" s="450">
        <f>R228-Q228</f>
        <v>167</v>
      </c>
      <c r="S229" s="450">
        <f>S228-R228</f>
        <v>-150</v>
      </c>
      <c r="T229" s="451">
        <f>T228-O228</f>
        <v>539</v>
      </c>
      <c r="U229" s="450">
        <f>U228-T228</f>
        <v>0</v>
      </c>
      <c r="V229" s="450">
        <f>V228-U228</f>
        <v>0</v>
      </c>
      <c r="W229" s="450">
        <f>W228-V228</f>
        <v>0</v>
      </c>
      <c r="X229" s="452">
        <f>X228-W228</f>
        <v>-102.8</v>
      </c>
      <c r="Y229" s="451">
        <f>Y228-T228</f>
        <v>-102.8</v>
      </c>
      <c r="Z229" s="452">
        <f>Z228-Y228</f>
        <v>0</v>
      </c>
      <c r="AA229" s="452">
        <f>AA228-Z228</f>
        <v>0</v>
      </c>
      <c r="AB229" s="452">
        <f>AB228-AA228</f>
        <v>0</v>
      </c>
      <c r="AC229" s="452">
        <f>AC228-AB228</f>
        <v>0</v>
      </c>
      <c r="AD229" s="451">
        <f>AD228-Y228</f>
        <v>0</v>
      </c>
      <c r="AE229" s="451">
        <f>AE228-AD228</f>
        <v>0</v>
      </c>
      <c r="AF229" s="451">
        <f>AF228-AE228</f>
        <v>0</v>
      </c>
      <c r="AG229" s="451">
        <f>AG228-AF228</f>
        <v>0</v>
      </c>
      <c r="AH229" s="296"/>
      <c r="AI229" s="296"/>
      <c r="AJ229" s="296"/>
      <c r="AK229" s="296"/>
    </row>
    <row r="230" ht="13.5" customHeight="1" spans="1:37" x14ac:dyDescent="0.25">
      <c r="A230" s="257"/>
      <c r="B230" s="8"/>
      <c r="C230" s="8"/>
      <c r="D230" s="8"/>
      <c r="E230" s="8"/>
      <c r="F230" s="308"/>
      <c r="G230" s="308"/>
      <c r="H230" s="308"/>
      <c r="I230" s="308"/>
      <c r="J230" s="8"/>
      <c r="K230" s="308"/>
      <c r="L230" s="308"/>
      <c r="M230" s="308"/>
      <c r="N230" s="308"/>
      <c r="O230" s="8"/>
      <c r="P230" s="308"/>
      <c r="Q230" s="308"/>
      <c r="R230" s="308"/>
      <c r="S230" s="308"/>
      <c r="T230" s="8"/>
      <c r="U230" s="308"/>
      <c r="V230" s="308"/>
      <c r="W230" s="308"/>
      <c r="X230" s="309"/>
      <c r="Y230" s="8"/>
      <c r="Z230" s="309"/>
      <c r="AA230" s="309"/>
      <c r="AB230" s="309"/>
      <c r="AC230" s="309"/>
      <c r="AD230" s="8"/>
      <c r="AE230" s="8"/>
      <c r="AF230" s="8"/>
      <c r="AG230" s="8"/>
      <c r="AH230" s="8"/>
      <c r="AI230" s="8"/>
      <c r="AJ230" s="8"/>
      <c r="AK230" s="8"/>
    </row>
    <row r="231" ht="13.5" customHeight="1" spans="1:37" x14ac:dyDescent="0.25">
      <c r="A231" s="257"/>
      <c r="B231" s="406"/>
      <c r="C231" s="407" t="s">
        <v>394</v>
      </c>
      <c r="D231" s="91"/>
      <c r="E231" s="91"/>
      <c r="F231" s="408">
        <f>F229-F224</f>
        <v>-10250.199999999995</v>
      </c>
      <c r="G231" s="408">
        <f>G229-G224</f>
        <v>-643.4000000000024</v>
      </c>
      <c r="H231" s="408">
        <f>H229-H224</f>
        <v>352.20000000000164</v>
      </c>
      <c r="I231" s="408">
        <f>I229-I224</f>
        <v>-723.4000000000033</v>
      </c>
      <c r="J231" s="409">
        <f>J229-J224</f>
        <v>-11264.8</v>
      </c>
      <c r="K231" s="408">
        <f t="shared" ref="K231:AG231" si="74">K229-K224</f>
        <v>-197.99999999999818</v>
      </c>
      <c r="L231" s="408">
        <f t="shared" si="74"/>
        <v>266.5999999999931</v>
      </c>
      <c r="M231" s="408">
        <f t="shared" si="74"/>
        <v>0.30000000000654836</v>
      </c>
      <c r="N231" s="408">
        <f t="shared" si="74"/>
        <v>-508.1000000000022</v>
      </c>
      <c r="O231" s="409">
        <f t="shared" si="74"/>
        <v>-439.2000000000007</v>
      </c>
      <c r="P231" s="408">
        <f t="shared" si="74"/>
        <v>-252</v>
      </c>
      <c r="Q231" s="408">
        <f t="shared" si="74"/>
        <v>27</v>
      </c>
      <c r="R231" s="408">
        <f t="shared" si="74"/>
        <v>-27</v>
      </c>
      <c r="S231" s="408">
        <f t="shared" si="74"/>
        <v>-185</v>
      </c>
      <c r="T231" s="409">
        <f t="shared" si="74"/>
        <v>-437</v>
      </c>
      <c r="U231" s="408">
        <f t="shared" si="74"/>
        <v>0</v>
      </c>
      <c r="V231" s="408">
        <f t="shared" si="74"/>
        <v>0</v>
      </c>
      <c r="W231" s="408">
        <f>W229-W224</f>
        <v>0</v>
      </c>
      <c r="X231" s="410">
        <f t="shared" si="74"/>
        <v>-102.8</v>
      </c>
      <c r="Y231" s="409">
        <f t="shared" si="74"/>
        <v>-102.8</v>
      </c>
      <c r="Z231" s="410">
        <f t="shared" si="74"/>
        <v>0</v>
      </c>
      <c r="AA231" s="410">
        <f t="shared" si="74"/>
        <v>0</v>
      </c>
      <c r="AB231" s="410">
        <f t="shared" si="74"/>
        <v>0</v>
      </c>
      <c r="AC231" s="410">
        <f t="shared" si="74"/>
        <v>0</v>
      </c>
      <c r="AD231" s="409">
        <f t="shared" si="74"/>
        <v>0</v>
      </c>
      <c r="AE231" s="409">
        <f t="shared" si="74"/>
        <v>0</v>
      </c>
      <c r="AF231" s="409">
        <f t="shared" si="74"/>
        <v>0</v>
      </c>
      <c r="AG231" s="428">
        <f t="shared" si="74"/>
        <v>0</v>
      </c>
      <c r="AH231" s="8"/>
      <c r="AI231" s="8"/>
      <c r="AJ231" s="8"/>
      <c r="AK231" s="8"/>
    </row>
    <row r="232" ht="13.5" customHeight="1" spans="1:37" x14ac:dyDescent="0.25">
      <c r="A232" s="257"/>
      <c r="B232" s="8"/>
      <c r="C232" s="8"/>
      <c r="D232" s="8"/>
      <c r="E232" s="8"/>
      <c r="F232" s="308"/>
      <c r="G232" s="308"/>
      <c r="H232" s="308"/>
      <c r="I232" s="308"/>
      <c r="J232" s="8"/>
      <c r="K232" s="308"/>
      <c r="L232" s="308"/>
      <c r="M232" s="308"/>
      <c r="N232" s="308"/>
      <c r="O232" s="8"/>
      <c r="P232" s="308"/>
      <c r="Q232" s="308"/>
      <c r="R232" s="308"/>
      <c r="S232" s="308"/>
      <c r="T232" s="8"/>
      <c r="U232" s="308"/>
      <c r="V232" s="308"/>
      <c r="W232" s="308"/>
      <c r="X232" s="309"/>
      <c r="Y232" s="8"/>
      <c r="Z232" s="309"/>
      <c r="AA232" s="309"/>
      <c r="AB232" s="309"/>
      <c r="AC232" s="309"/>
      <c r="AD232" s="8"/>
      <c r="AE232" s="8"/>
      <c r="AF232" s="8"/>
      <c r="AG232" s="8"/>
      <c r="AH232" s="8"/>
      <c r="AI232" s="8"/>
      <c r="AJ232" s="8"/>
      <c r="AK232" s="8"/>
    </row>
    <row r="233" ht="13.5" customHeight="1" spans="1:37" x14ac:dyDescent="0.25">
      <c r="A233" s="257"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16"/>
      <c r="AH233" s="257" t="s">
        <v>3</v>
      </c>
      <c r="AI233" s="8"/>
      <c r="AJ233" s="8"/>
      <c r="AK233" s="8"/>
    </row>
    <row r="234" ht="13.5" customHeight="1" spans="1:37" x14ac:dyDescent="0.25">
      <c r="A234" s="257"/>
      <c r="B234" s="8"/>
      <c r="C234" s="8"/>
      <c r="D234" s="8"/>
      <c r="E234" s="8"/>
      <c r="F234" s="308"/>
      <c r="G234" s="308"/>
      <c r="H234" s="308"/>
      <c r="I234" s="308"/>
      <c r="J234" s="8"/>
      <c r="K234" s="308"/>
      <c r="L234" s="308"/>
      <c r="M234" s="308"/>
      <c r="N234" s="308"/>
      <c r="O234" s="8"/>
      <c r="P234" s="308"/>
      <c r="Q234" s="308"/>
      <c r="R234" s="308"/>
      <c r="S234" s="308"/>
      <c r="T234" s="8"/>
      <c r="U234" s="308"/>
      <c r="V234" s="308"/>
      <c r="W234" s="308"/>
      <c r="X234" s="309"/>
      <c r="Y234" s="8"/>
      <c r="Z234" s="309"/>
      <c r="AA234" s="309"/>
      <c r="AB234" s="309"/>
      <c r="AC234" s="309"/>
      <c r="AD234" s="8"/>
      <c r="AE234" s="8"/>
      <c r="AF234" s="8"/>
      <c r="AG234" s="8"/>
      <c r="AH234" s="8"/>
      <c r="AI234" s="8"/>
      <c r="AJ234" s="8"/>
      <c r="AK234" s="8"/>
    </row>
    <row r="235" ht="13.5" customHeight="1" spans="1:37" x14ac:dyDescent="0.25">
      <c r="A235" s="257"/>
      <c r="B235" s="8"/>
      <c r="C235" s="8" t="s">
        <v>395</v>
      </c>
      <c r="D235" s="8"/>
      <c r="E235" s="8"/>
      <c r="F235" s="417" t="e">
        <f>F222/D222-1</f>
        <v>#DIV/0!</v>
      </c>
      <c r="G235" s="417">
        <f>G222/F222-1</f>
        <v>0.009221566835590167</v>
      </c>
      <c r="H235" s="417">
        <f>H222/G222-1</f>
        <v>0.0331741850510372</v>
      </c>
      <c r="I235" s="417">
        <f>I222/H222-1</f>
        <v>0.074018006533344</v>
      </c>
      <c r="J235" s="418" t="e">
        <f>J222/E222-1</f>
        <v>#DIV/0!</v>
      </c>
      <c r="K235" s="417">
        <f>K222/I222-1</f>
        <v>0.08531157270029666</v>
      </c>
      <c r="L235" s="417">
        <f>L222/K222-1</f>
        <v>0.024948735475051276</v>
      </c>
      <c r="M235" s="417">
        <f>M222/L222-1</f>
        <v>0.06842280760253416</v>
      </c>
      <c r="N235" s="417">
        <f>N222/M222-1</f>
        <v>-0.006928406466512604</v>
      </c>
      <c r="O235" s="418">
        <f>O222/J222-1</f>
        <v>0.18026706231454015</v>
      </c>
      <c r="P235" s="417">
        <f>P222/N222-1</f>
        <v>0.015713387806411072</v>
      </c>
      <c r="Q235" s="417">
        <f>Q222/P222-1</f>
        <v>0.0482673267326732</v>
      </c>
      <c r="R235" s="417">
        <f>R222/Q222-1</f>
        <v>0.0714285714285714</v>
      </c>
      <c r="S235" s="417">
        <f>S222/R222-1</f>
        <v>0.010468319559228556</v>
      </c>
      <c r="T235" s="418">
        <f>T222/O222-1</f>
        <v>0.15273412947831555</v>
      </c>
      <c r="U235" s="417" t="e">
        <f>U222/S222-1</f>
        <v>#DIV/0!</v>
      </c>
      <c r="V235" s="417" t="e">
        <f>V222/U222-1</f>
        <v>#DIV/0!</v>
      </c>
      <c r="W235" s="417" t="e">
        <f>W222/V222-1</f>
        <v>#DIV/0!</v>
      </c>
      <c r="X235" s="448">
        <f>Drivers!X128</f>
        <v>0.07</v>
      </c>
      <c r="Y235" s="418" t="e">
        <f>Y222/T222-1</f>
        <v>#DIV/0!</v>
      </c>
      <c r="Z235" s="448">
        <f>Drivers!Z128</f>
        <v>0.044</v>
      </c>
      <c r="AA235" s="448">
        <f>Drivers!AA128</f>
        <v>0.044</v>
      </c>
      <c r="AB235" s="448">
        <f>Drivers!AB128</f>
        <v>0.044</v>
      </c>
      <c r="AC235" s="448">
        <f>Drivers!AC128</f>
        <v>0.044</v>
      </c>
      <c r="AD235" s="418" t="e">
        <f>AD222/Y222-1</f>
        <v>#DIV/0!</v>
      </c>
      <c r="AE235" s="449">
        <f>Drivers!AE128</f>
        <v>0.068</v>
      </c>
      <c r="AF235" s="449">
        <f>Drivers!AF128</f>
        <v>0.067</v>
      </c>
      <c r="AG235" s="449">
        <f>Drivers!AG128</f>
        <v>0.07</v>
      </c>
      <c r="AH235" s="8"/>
      <c r="AI235" s="8"/>
      <c r="AJ235" s="8"/>
      <c r="AK235" s="8"/>
    </row>
    <row r="236" ht="13.5" customHeight="1" spans="1:37" x14ac:dyDescent="0.25">
      <c r="A236" s="257"/>
      <c r="B236" s="8"/>
      <c r="C236" s="8"/>
      <c r="D236" s="8"/>
      <c r="E236" s="8"/>
      <c r="F236" s="308"/>
      <c r="G236" s="308"/>
      <c r="H236" s="308"/>
      <c r="I236" s="308"/>
      <c r="J236" s="8"/>
      <c r="K236" s="308"/>
      <c r="L236" s="308"/>
      <c r="M236" s="308"/>
      <c r="N236" s="308"/>
      <c r="O236" s="8"/>
      <c r="P236" s="308"/>
      <c r="Q236" s="308"/>
      <c r="R236" s="308"/>
      <c r="S236" s="308"/>
      <c r="T236" s="8"/>
      <c r="U236" s="308"/>
      <c r="V236" s="308"/>
      <c r="W236" s="308"/>
      <c r="X236" s="309"/>
      <c r="Y236" s="8"/>
      <c r="Z236" s="309"/>
      <c r="AA236" s="309"/>
      <c r="AB236" s="309"/>
      <c r="AC236" s="309"/>
      <c r="AD236" s="8"/>
      <c r="AE236" s="8"/>
      <c r="AF236" s="8"/>
      <c r="AG236" s="8"/>
      <c r="AH236" s="8"/>
      <c r="AI236" s="8"/>
      <c r="AJ236" s="8"/>
      <c r="AK236" s="8"/>
    </row>
    <row r="237" ht="13.5" customHeight="1" spans="1:37" x14ac:dyDescent="0.25">
      <c r="A237" s="257" t="s">
        <v>3</v>
      </c>
      <c r="B237" s="40"/>
      <c r="C237" s="53" t="s">
        <v>396</v>
      </c>
      <c r="D237" s="11"/>
      <c r="E237" s="11"/>
      <c r="F237" s="54">
        <f t="shared" ref="F237:AG237" si="75">F$65</f>
        <v>0</v>
      </c>
      <c r="G237" s="54">
        <f t="shared" si="75"/>
        <v>0</v>
      </c>
      <c r="H237" s="54">
        <f t="shared" si="75"/>
        <v>0</v>
      </c>
      <c r="I237" s="54">
        <f t="shared" si="75"/>
        <v>0</v>
      </c>
      <c r="J237" s="54">
        <f t="shared" si="75"/>
        <v>2023</v>
      </c>
      <c r="K237" s="54">
        <f t="shared" si="75"/>
        <v>0</v>
      </c>
      <c r="L237" s="54">
        <f t="shared" si="75"/>
        <v>0</v>
      </c>
      <c r="M237" s="54">
        <f t="shared" si="75"/>
        <v>0</v>
      </c>
      <c r="N237" s="54">
        <f t="shared" si="75"/>
        <v>0</v>
      </c>
      <c r="O237" s="54">
        <f t="shared" si="75"/>
        <v>2024</v>
      </c>
      <c r="P237" s="54">
        <f t="shared" si="75"/>
        <v>0</v>
      </c>
      <c r="Q237" s="54">
        <f t="shared" si="75"/>
        <v>0</v>
      </c>
      <c r="R237" s="54">
        <f t="shared" si="75"/>
        <v>0</v>
      </c>
      <c r="S237" s="54">
        <f t="shared" si="75"/>
        <v>0</v>
      </c>
      <c r="T237" s="54">
        <f t="shared" si="75"/>
        <v>2025</v>
      </c>
      <c r="U237" s="54" t="str">
        <f t="shared" si="75"/>
        <v>1Q26e</v>
      </c>
      <c r="V237" s="54" t="str">
        <f t="shared" si="75"/>
        <v>2Q26e</v>
      </c>
      <c r="W237" s="54" t="str">
        <f t="shared" si="75"/>
        <v>3Q26</v>
      </c>
      <c r="X237" s="54" t="str">
        <f t="shared" si="75"/>
        <v>4Q26e</v>
      </c>
      <c r="Y237" s="54" t="str">
        <f t="shared" si="75"/>
        <v>2026e</v>
      </c>
      <c r="Z237" s="54" t="str">
        <f t="shared" si="75"/>
        <v>1Q27e</v>
      </c>
      <c r="AA237" s="54" t="str">
        <f t="shared" si="75"/>
        <v>2Q27e</v>
      </c>
      <c r="AB237" s="54" t="str">
        <f t="shared" si="75"/>
        <v>3Q27e</v>
      </c>
      <c r="AC237" s="54" t="str">
        <f t="shared" si="75"/>
        <v>4Q27e</v>
      </c>
      <c r="AD237" s="54" t="str">
        <f t="shared" si="75"/>
        <v>2027e</v>
      </c>
      <c r="AE237" s="54" t="str">
        <f t="shared" si="75"/>
        <v>2028e</v>
      </c>
      <c r="AF237" s="54" t="str">
        <f t="shared" si="75"/>
        <v>2029e</v>
      </c>
      <c r="AG237" s="55" t="str">
        <f t="shared" si="75"/>
        <v>2030e</v>
      </c>
      <c r="AH237" s="257" t="s">
        <v>3</v>
      </c>
      <c r="AI237" s="8"/>
      <c r="AJ237" s="8"/>
      <c r="AK237" s="8"/>
    </row>
    <row r="238" ht="13.5" customHeight="1" spans="1:37" x14ac:dyDescent="0.25">
      <c r="A238" s="257"/>
      <c r="B238" s="8"/>
      <c r="C238" s="8"/>
      <c r="D238" s="8"/>
      <c r="E238" s="8"/>
      <c r="F238" s="308"/>
      <c r="G238" s="308"/>
      <c r="H238" s="308"/>
      <c r="I238" s="308"/>
      <c r="J238" s="8"/>
      <c r="K238" s="308"/>
      <c r="L238" s="308"/>
      <c r="M238" s="308"/>
      <c r="N238" s="308"/>
      <c r="O238" s="8"/>
      <c r="P238" s="308"/>
      <c r="Q238" s="308"/>
      <c r="R238" s="308"/>
      <c r="S238" s="308"/>
      <c r="T238" s="8"/>
      <c r="U238" s="308"/>
      <c r="V238" s="308"/>
      <c r="W238" s="308"/>
      <c r="X238" s="309"/>
      <c r="Y238" s="8"/>
      <c r="Z238" s="309"/>
      <c r="AA238" s="309"/>
      <c r="AB238" s="309"/>
      <c r="AC238" s="309"/>
      <c r="AD238" s="8"/>
      <c r="AE238" s="8"/>
      <c r="AF238" s="8"/>
      <c r="AG238" s="8"/>
      <c r="AH238" s="8"/>
      <c r="AI238" s="8"/>
      <c r="AJ238" s="8"/>
      <c r="AK238" s="8"/>
    </row>
    <row r="239" ht="13.5" customHeight="1" spans="1:37" x14ac:dyDescent="0.25">
      <c r="A239" s="257"/>
      <c r="B239" s="8"/>
      <c r="C239" s="8" t="s">
        <v>397</v>
      </c>
      <c r="D239" s="8"/>
      <c r="E239" s="8"/>
      <c r="F239" s="308"/>
      <c r="G239" s="308"/>
      <c r="H239" s="308"/>
      <c r="I239" s="308"/>
      <c r="J239" s="8"/>
      <c r="K239" s="308"/>
      <c r="L239" s="308"/>
      <c r="M239" s="308"/>
      <c r="N239" s="308"/>
      <c r="O239" s="8"/>
      <c r="P239" s="308"/>
      <c r="Q239" s="308"/>
      <c r="R239" s="308"/>
      <c r="S239" s="308"/>
      <c r="T239" s="8"/>
      <c r="U239" s="308"/>
      <c r="V239" s="308"/>
      <c r="W239" s="308"/>
      <c r="X239" s="309"/>
      <c r="Y239" s="8"/>
      <c r="Z239" s="309"/>
      <c r="AA239" s="309"/>
      <c r="AB239" s="309"/>
      <c r="AC239" s="309"/>
      <c r="AD239" s="8"/>
      <c r="AE239" s="8"/>
      <c r="AF239" s="8"/>
      <c r="AG239" s="8"/>
      <c r="AH239" s="8"/>
      <c r="AI239" s="8"/>
      <c r="AJ239" s="8"/>
      <c r="AK239" s="8"/>
    </row>
    <row r="240" ht="13.5" customHeight="1" spans="1:37" x14ac:dyDescent="0.25">
      <c r="A240" s="257"/>
      <c r="B240" s="8"/>
      <c r="C240" s="130" t="s">
        <v>398</v>
      </c>
      <c r="D240" s="8"/>
      <c r="E240" s="8"/>
      <c r="F240" s="381">
        <f>F53</f>
        <v>0</v>
      </c>
      <c r="G240" s="381">
        <f>G53</f>
        <v>0</v>
      </c>
      <c r="H240" s="381">
        <f>H53</f>
        <v>0</v>
      </c>
      <c r="I240" s="381">
        <f>I53</f>
        <v>0</v>
      </c>
      <c r="J240" s="118">
        <f>J53</f>
        <v>0</v>
      </c>
      <c r="K240" s="381">
        <f t="shared" ref="K240:AG240" si="76">K53</f>
        <v>0</v>
      </c>
      <c r="L240" s="381">
        <f t="shared" si="76"/>
        <v>0</v>
      </c>
      <c r="M240" s="381">
        <f t="shared" si="76"/>
        <v>0</v>
      </c>
      <c r="N240" s="381">
        <f t="shared" si="76"/>
        <v>0</v>
      </c>
      <c r="O240" s="118">
        <f t="shared" si="76"/>
        <v>0</v>
      </c>
      <c r="P240" s="381">
        <f t="shared" si="76"/>
        <v>0</v>
      </c>
      <c r="Q240" s="381">
        <f t="shared" si="76"/>
        <v>0</v>
      </c>
      <c r="R240" s="381">
        <f t="shared" si="76"/>
        <v>0</v>
      </c>
      <c r="S240" s="381">
        <f t="shared" si="76"/>
        <v>0</v>
      </c>
      <c r="T240" s="118">
        <f t="shared" si="76"/>
        <v>0</v>
      </c>
      <c r="U240" s="381" t="e">
        <f t="shared" si="76"/>
        <v>#DIV/0!</v>
      </c>
      <c r="V240" s="381" t="e">
        <f t="shared" si="76"/>
        <v>#DIV/0!</v>
      </c>
      <c r="W240" s="381" t="e">
        <f t="shared" si="76"/>
        <v>#DIV/0!</v>
      </c>
      <c r="X240" s="383">
        <f t="shared" si="76"/>
        <v>1.816833097245522</v>
      </c>
      <c r="Y240" s="118">
        <f t="shared" si="76"/>
        <v>8.307031201793784</v>
      </c>
      <c r="Z240" s="383">
        <f t="shared" si="76"/>
        <v>1.829587765453529</v>
      </c>
      <c r="AA240" s="383">
        <f t="shared" si="76"/>
        <v>2.063226368000674</v>
      </c>
      <c r="AB240" s="383">
        <f t="shared" si="76"/>
        <v>2.0968410288008945</v>
      </c>
      <c r="AC240" s="383">
        <f t="shared" si="76"/>
        <v>2.033631161051267</v>
      </c>
      <c r="AD240" s="118">
        <f t="shared" si="76"/>
        <v>8.022439618945636</v>
      </c>
      <c r="AE240" s="118">
        <f t="shared" si="76"/>
        <v>9.111962549740369</v>
      </c>
      <c r="AF240" s="118">
        <f t="shared" si="76"/>
        <v>9.57704587015528</v>
      </c>
      <c r="AG240" s="118">
        <f t="shared" si="76"/>
        <v>10.293342471067035</v>
      </c>
      <c r="AH240" s="8"/>
      <c r="AI240" s="8"/>
      <c r="AJ240" s="8"/>
      <c r="AK240" s="8"/>
    </row>
    <row r="241" ht="13.5" customHeight="1" spans="1:37" x14ac:dyDescent="0.25">
      <c r="A241" s="257"/>
      <c r="B241" s="8"/>
      <c r="C241" s="130" t="s">
        <v>399</v>
      </c>
      <c r="D241" s="8"/>
      <c r="E241" s="8"/>
      <c r="F241" s="453" t="e">
        <f>F242/SUM(F240,B240:D240)</f>
        <v>#DIV/0!</v>
      </c>
      <c r="G241" s="453" t="e">
        <f>G242/SUM(F240:G240,C240:D240)</f>
        <v>#DIV/0!</v>
      </c>
      <c r="H241" s="453" t="e">
        <f>H242/SUM(F240:H240,D240)</f>
        <v>#DIV/0!</v>
      </c>
      <c r="I241" s="453" t="e">
        <f>I242/SUM(F240:I240)</f>
        <v>#DIV/0!</v>
      </c>
      <c r="J241" s="454" t="e">
        <f>J242/J240</f>
        <v>#DIV/0!</v>
      </c>
      <c r="K241" s="453" t="e">
        <f>K242/SUM(K240,G240:I240)</f>
        <v>#DIV/0!</v>
      </c>
      <c r="L241" s="453" t="e">
        <f>L242/SUM(K240:L240,H240:I240)</f>
        <v>#DIV/0!</v>
      </c>
      <c r="M241" s="453" t="e">
        <f>M242/SUM(K240:M240,I240)</f>
        <v>#DIV/0!</v>
      </c>
      <c r="N241" s="453" t="e">
        <f>N242/SUM(K240:N240)</f>
        <v>#DIV/0!</v>
      </c>
      <c r="O241" s="454" t="e">
        <f>O242/O240</f>
        <v>#DIV/0!</v>
      </c>
      <c r="P241" s="453" t="e">
        <f>P242/SUM(P240,L240:N240)</f>
        <v>#DIV/0!</v>
      </c>
      <c r="Q241" s="453" t="e">
        <f>Q242/SUM(P240:Q240,M240:N240)</f>
        <v>#DIV/0!</v>
      </c>
      <c r="R241" s="453" t="e">
        <f>R242/SUM(P240:R240,N240)</f>
        <v>#DIV/0!</v>
      </c>
      <c r="S241" s="453" t="e">
        <f>S242/SUM(P240:S240)</f>
        <v>#DIV/0!</v>
      </c>
      <c r="T241" s="454" t="e">
        <f>T242/T240</f>
        <v>#DIV/0!</v>
      </c>
      <c r="U241" s="453" t="e">
        <f>U242/SUM(U240,Q240:S240)</f>
        <v>#DIV/0!</v>
      </c>
      <c r="V241" s="453" t="e">
        <f>V242/SUM(U240:V240,R240:S240)</f>
        <v>#DIV/0!</v>
      </c>
      <c r="W241" s="453" t="e">
        <f>W242/SUM(U240:W240,S240)</f>
        <v>#DIV/0!</v>
      </c>
      <c r="X241" s="455" t="e">
        <f>X242/SUM(U240:X240)</f>
        <v>#DIV/0!</v>
      </c>
      <c r="Y241" s="454">
        <f>Y242/Y240</f>
        <v>24.8206603528198</v>
      </c>
      <c r="Z241" s="455">
        <f>Z242/SUM(Z240,V240:X240)</f>
        <v>22.845061440927342</v>
      </c>
      <c r="AA241" s="455">
        <f>AA242/SUM(Z240:AA240,W240:X240)</f>
        <v>23.919950579218927</v>
      </c>
      <c r="AB241" s="455">
        <f>AB242/SUM(Z240:AB240,X240)</f>
        <v>24.979221580546405</v>
      </c>
      <c r="AC241" s="455">
        <f>AC242/SUM(Z240:AC240)</f>
        <v>24.92744144242141</v>
      </c>
      <c r="AD241" s="454">
        <f>AD242/AD240</f>
        <v>24.93007233456565</v>
      </c>
      <c r="AE241" s="454">
        <f>AE242/AE240</f>
        <v>24.144085184620142</v>
      </c>
      <c r="AF241" s="454">
        <f>AF242/AF240</f>
        <v>22.971593013413543</v>
      </c>
      <c r="AG241" s="454">
        <f>AG242/AG240</f>
        <v>23.510341823389627</v>
      </c>
      <c r="AH241" s="8"/>
      <c r="AI241" s="8"/>
      <c r="AJ241" s="8"/>
      <c r="AK241" s="8"/>
    </row>
    <row r="242" ht="13.5" customHeight="1" spans="1:37" x14ac:dyDescent="0.25">
      <c r="A242" s="257"/>
      <c r="B242" s="8"/>
      <c r="C242" s="130" t="s">
        <v>400</v>
      </c>
      <c r="D242" s="8"/>
      <c r="E242" s="8"/>
      <c r="F242" s="456"/>
      <c r="G242" s="456"/>
      <c r="H242" s="456"/>
      <c r="I242" s="456"/>
      <c r="J242" s="457" t="e">
        <f>J244/J243</f>
        <v>#DIV/0!</v>
      </c>
      <c r="K242" s="456"/>
      <c r="L242" s="456"/>
      <c r="M242" s="456"/>
      <c r="N242" s="456"/>
      <c r="O242" s="457" t="e">
        <f>O244/O243</f>
        <v>#DIV/0!</v>
      </c>
      <c r="P242" s="456"/>
      <c r="Q242" s="456"/>
      <c r="R242" s="456"/>
      <c r="S242" s="456"/>
      <c r="T242" s="457" t="e">
        <f>T244/T243</f>
        <v>#DIV/0!</v>
      </c>
      <c r="U242" s="456"/>
      <c r="V242" s="456"/>
      <c r="W242" s="456"/>
      <c r="X242" s="458">
        <f>Share_Price</f>
        <v>206.55</v>
      </c>
      <c r="Y242" s="118" t="e">
        <f>U242*(U243/(SUM(U243:X243)))+V242*(V243/(SUM(U243:X243)))+W242*(W243/(SUM(U243:X243)))+X242*(X243/(SUM(U243:X243)))</f>
        <v>#DIV/0!</v>
      </c>
      <c r="Z242" s="459">
        <v>185</v>
      </c>
      <c r="AA242" s="459">
        <v>190</v>
      </c>
      <c r="AB242" s="459">
        <v>195</v>
      </c>
      <c r="AC242" s="459">
        <v>200</v>
      </c>
      <c r="AD242" s="118">
        <f>AC242</f>
        <v>200</v>
      </c>
      <c r="AE242" s="460">
        <f>AC242*1.1</f>
        <v>220.00000000000003</v>
      </c>
      <c r="AF242" s="460">
        <f>AD242*1.1</f>
        <v>220.00000000000003</v>
      </c>
      <c r="AG242" s="460">
        <f>AE242*1.1</f>
        <v>242.00000000000006</v>
      </c>
      <c r="AH242" s="8"/>
      <c r="AI242" s="8"/>
      <c r="AJ242" s="8"/>
      <c r="AK242" s="8"/>
    </row>
    <row r="243" ht="13.5" customHeight="1" spans="1:37" x14ac:dyDescent="0.25">
      <c r="A243" s="257"/>
      <c r="B243" s="8"/>
      <c r="C243" s="130" t="s">
        <v>401</v>
      </c>
      <c r="D243" s="8"/>
      <c r="E243" s="8"/>
      <c r="F243" s="401"/>
      <c r="G243" s="401"/>
      <c r="H243" s="401"/>
      <c r="I243" s="401"/>
      <c r="J243" s="153">
        <f>SUM(F243:I243)</f>
        <v>0</v>
      </c>
      <c r="K243" s="401"/>
      <c r="L243" s="401"/>
      <c r="M243" s="401"/>
      <c r="N243" s="401"/>
      <c r="O243" s="153">
        <f>SUM(K243:N243)</f>
        <v>0</v>
      </c>
      <c r="P243" s="401"/>
      <c r="Q243" s="401"/>
      <c r="R243" s="461"/>
      <c r="S243" s="401"/>
      <c r="T243" s="153">
        <f>SUM(P243:S243)</f>
        <v>0</v>
      </c>
      <c r="U243" s="401"/>
      <c r="V243" s="401"/>
      <c r="W243" s="461"/>
      <c r="X243" s="358">
        <f>X244/X242</f>
        <v>0</v>
      </c>
      <c r="Y243" s="153">
        <f>SUM(U243:X243)</f>
        <v>0</v>
      </c>
      <c r="Z243" s="358">
        <f>Z244/Z242</f>
        <v>2.972972972972973</v>
      </c>
      <c r="AA243" s="358">
        <f>AA244/AA242</f>
        <v>0</v>
      </c>
      <c r="AB243" s="358">
        <f>AB244/AB242</f>
        <v>0</v>
      </c>
      <c r="AC243" s="358">
        <f>AC244/AC242</f>
        <v>0</v>
      </c>
      <c r="AD243" s="153">
        <f>SUM(Z243:AC243)</f>
        <v>2.972972972972973</v>
      </c>
      <c r="AE243" s="153">
        <f>AE244/AE242</f>
        <v>2.727272727272727</v>
      </c>
      <c r="AF243" s="153">
        <f>AF244/AF242</f>
        <v>2.954545454545454</v>
      </c>
      <c r="AG243" s="153">
        <f>AG244/AG242</f>
        <v>2.8925619834710736</v>
      </c>
      <c r="AH243" s="8"/>
      <c r="AI243" s="8"/>
      <c r="AJ243" s="8"/>
      <c r="AK243" s="8"/>
    </row>
    <row r="244" ht="13.5" customHeight="1" spans="1:37" x14ac:dyDescent="0.25">
      <c r="A244" s="257"/>
      <c r="B244" s="8"/>
      <c r="C244" s="130" t="s">
        <v>402</v>
      </c>
      <c r="D244" s="8"/>
      <c r="E244" s="8"/>
      <c r="F244" s="356"/>
      <c r="G244" s="356"/>
      <c r="H244" s="356"/>
      <c r="I244" s="356"/>
      <c r="J244" s="153">
        <f>SUM(F244:I244)</f>
        <v>-262</v>
      </c>
      <c r="K244" s="356"/>
      <c r="L244" s="356"/>
      <c r="M244" s="356"/>
      <c r="N244" s="356"/>
      <c r="O244" s="153">
        <f>SUM(K244:N244)</f>
        <v>-482</v>
      </c>
      <c r="P244" s="356"/>
      <c r="Q244" s="356"/>
      <c r="R244" s="356"/>
      <c r="S244" s="356"/>
      <c r="T244" s="153">
        <f>SUM(P244:S244)</f>
        <v>-870</v>
      </c>
      <c r="U244" s="356"/>
      <c r="V244" s="356"/>
      <c r="W244" s="356"/>
      <c r="X244" s="358">
        <f>X275</f>
        <v>0</v>
      </c>
      <c r="Y244" s="153">
        <f>SUM(U244:X244)</f>
        <v>0</v>
      </c>
      <c r="Z244" s="358">
        <f>Z275</f>
        <v>550</v>
      </c>
      <c r="AA244" s="358">
        <f>AA275</f>
        <v>0</v>
      </c>
      <c r="AB244" s="358">
        <f>AB275</f>
        <v>0</v>
      </c>
      <c r="AC244" s="358">
        <f>AC275</f>
        <v>0</v>
      </c>
      <c r="AD244" s="153">
        <f>SUM(Z244:AC244)</f>
        <v>550</v>
      </c>
      <c r="AE244" s="153">
        <f>AE275</f>
        <v>600</v>
      </c>
      <c r="AF244" s="153">
        <f>AF275</f>
        <v>650</v>
      </c>
      <c r="AG244" s="153">
        <f>AG275</f>
        <v>700</v>
      </c>
      <c r="AH244" s="8"/>
      <c r="AI244" s="8"/>
      <c r="AJ244" s="8"/>
      <c r="AK244" s="8"/>
    </row>
    <row r="245" ht="13.5" customHeight="1" spans="1:37" x14ac:dyDescent="0.25">
      <c r="A245" s="257"/>
      <c r="B245" s="8"/>
      <c r="C245" s="8"/>
      <c r="D245" s="8"/>
      <c r="E245" s="8"/>
      <c r="F245" s="308"/>
      <c r="G245" s="308"/>
      <c r="H245" s="308"/>
      <c r="I245" s="462"/>
      <c r="J245" s="8"/>
      <c r="K245" s="308"/>
      <c r="L245" s="308"/>
      <c r="M245" s="308"/>
      <c r="N245" s="462"/>
      <c r="O245" s="8"/>
      <c r="P245" s="308"/>
      <c r="Q245" s="308"/>
      <c r="R245" s="463"/>
      <c r="S245" s="308"/>
      <c r="T245" s="8"/>
      <c r="U245" s="308"/>
      <c r="V245" s="308"/>
      <c r="W245" s="463"/>
      <c r="X245" s="309"/>
      <c r="Y245" s="8"/>
      <c r="Z245" s="309"/>
      <c r="AA245" s="309"/>
      <c r="AB245" s="309"/>
      <c r="AC245" s="309"/>
      <c r="AD245" s="8"/>
      <c r="AE245" s="8"/>
      <c r="AF245" s="8"/>
      <c r="AG245" s="8"/>
      <c r="AH245" s="8"/>
      <c r="AI245" s="8"/>
      <c r="AJ245" s="8"/>
      <c r="AK245" s="8"/>
    </row>
    <row r="246" ht="13.5" customHeight="1" spans="1:37" x14ac:dyDescent="0.25">
      <c r="A246" s="257"/>
      <c r="B246" s="8"/>
      <c r="C246" s="8" t="s">
        <v>403</v>
      </c>
      <c r="D246" s="8"/>
      <c r="E246" s="8"/>
      <c r="F246" s="308"/>
      <c r="G246" s="308"/>
      <c r="H246" s="308"/>
      <c r="I246" s="463"/>
      <c r="J246" s="8"/>
      <c r="K246" s="308"/>
      <c r="L246" s="308"/>
      <c r="M246" s="308"/>
      <c r="N246" s="463"/>
      <c r="O246" s="8"/>
      <c r="P246" s="308"/>
      <c r="Q246" s="308"/>
      <c r="R246" s="463"/>
      <c r="S246" s="464"/>
      <c r="T246" s="8"/>
      <c r="U246" s="308"/>
      <c r="V246" s="308"/>
      <c r="W246" s="463"/>
      <c r="X246" s="309"/>
      <c r="Y246" s="8"/>
      <c r="Z246" s="309"/>
      <c r="AA246" s="309"/>
      <c r="AB246" s="309"/>
      <c r="AC246" s="309"/>
      <c r="AD246" s="8"/>
      <c r="AE246" s="8"/>
      <c r="AF246" s="8"/>
      <c r="AG246" s="8"/>
      <c r="AH246" s="8"/>
      <c r="AI246" s="8"/>
      <c r="AJ246" s="8"/>
      <c r="AK246" s="8"/>
    </row>
    <row r="247" ht="13.5" customHeight="1" spans="1:37" x14ac:dyDescent="0.25">
      <c r="A247" s="257"/>
      <c r="B247" s="8"/>
      <c r="C247" s="130" t="s">
        <v>404</v>
      </c>
      <c r="D247" s="8"/>
      <c r="E247" s="8"/>
      <c r="F247" s="308"/>
      <c r="G247" s="308"/>
      <c r="H247" s="308"/>
      <c r="I247" s="463"/>
      <c r="J247" s="8"/>
      <c r="K247" s="308"/>
      <c r="L247" s="308"/>
      <c r="M247" s="308"/>
      <c r="N247" s="463"/>
      <c r="O247" s="8"/>
      <c r="P247" s="308"/>
      <c r="Q247" s="308"/>
      <c r="R247" s="463"/>
      <c r="S247" s="308"/>
      <c r="T247" s="8"/>
      <c r="U247" s="308"/>
      <c r="V247" s="308"/>
      <c r="W247" s="463"/>
      <c r="X247" s="274">
        <f>W250</f>
        <v>0</v>
      </c>
      <c r="Y247" s="275"/>
      <c r="Z247" s="274">
        <f>Y250</f>
        <v>0</v>
      </c>
      <c r="AA247" s="274">
        <f>Z250</f>
        <v>0</v>
      </c>
      <c r="AB247" s="274">
        <f>AA250</f>
        <v>0</v>
      </c>
      <c r="AC247" s="274">
        <f>AB250</f>
        <v>0</v>
      </c>
      <c r="AD247" s="275">
        <f>Y250</f>
        <v>0</v>
      </c>
      <c r="AE247" s="275">
        <f>AD250</f>
        <v>0</v>
      </c>
      <c r="AF247" s="275">
        <f>AE250</f>
        <v>0</v>
      </c>
      <c r="AG247" s="275">
        <f>AF250</f>
        <v>0</v>
      </c>
      <c r="AH247" s="8"/>
      <c r="AI247" s="8"/>
      <c r="AJ247" s="8"/>
      <c r="AK247" s="8"/>
    </row>
    <row r="248" ht="13.5" customHeight="1" spans="1:37" x14ac:dyDescent="0.25">
      <c r="A248" s="257"/>
      <c r="B248" s="8"/>
      <c r="C248" s="130" t="s">
        <v>405</v>
      </c>
      <c r="D248" s="8"/>
      <c r="E248" s="8"/>
      <c r="F248" s="434">
        <v>0</v>
      </c>
      <c r="G248" s="434">
        <v>0</v>
      </c>
      <c r="H248" s="434">
        <v>0</v>
      </c>
      <c r="I248" s="465">
        <v>0</v>
      </c>
      <c r="J248" s="324">
        <f>SUM(F248:I248)</f>
        <v>0</v>
      </c>
      <c r="K248" s="434">
        <v>0</v>
      </c>
      <c r="L248" s="434">
        <v>0</v>
      </c>
      <c r="M248" s="434">
        <v>0</v>
      </c>
      <c r="N248" s="465">
        <v>0</v>
      </c>
      <c r="O248" s="324">
        <f>SUM(K248:N248)</f>
        <v>0</v>
      </c>
      <c r="P248" s="434">
        <v>0</v>
      </c>
      <c r="Q248" s="434">
        <v>0</v>
      </c>
      <c r="R248" s="465">
        <v>0</v>
      </c>
      <c r="S248" s="434">
        <v>0</v>
      </c>
      <c r="T248" s="324">
        <f>SUM(P248:S248)</f>
        <v>0</v>
      </c>
      <c r="U248" s="434">
        <v>0</v>
      </c>
      <c r="V248" s="434">
        <v>0</v>
      </c>
      <c r="W248" s="465">
        <v>0</v>
      </c>
      <c r="X248" s="325">
        <f>X274*X242</f>
        <v>0</v>
      </c>
      <c r="Y248" s="324">
        <f>SUM(U248:X248)</f>
        <v>0</v>
      </c>
      <c r="Z248" s="325">
        <f>Z274*Z242</f>
        <v>0</v>
      </c>
      <c r="AA248" s="325">
        <f>AA274*AA242</f>
        <v>0</v>
      </c>
      <c r="AB248" s="325">
        <f>AB274*AB242</f>
        <v>0</v>
      </c>
      <c r="AC248" s="325">
        <f>AC274*AC242</f>
        <v>0</v>
      </c>
      <c r="AD248" s="324">
        <f>SUM(Z248:AC248)</f>
        <v>0</v>
      </c>
      <c r="AE248" s="324">
        <f>AE274*AE242</f>
        <v>0</v>
      </c>
      <c r="AF248" s="324">
        <f>AF274*AF242</f>
        <v>0</v>
      </c>
      <c r="AG248" s="324">
        <f>AG274*AG242</f>
        <v>0</v>
      </c>
      <c r="AH248" s="8"/>
      <c r="AI248" s="8"/>
      <c r="AJ248" s="8"/>
      <c r="AK248" s="8"/>
    </row>
    <row r="249" ht="13.5" customHeight="1" spans="1:37" x14ac:dyDescent="0.25">
      <c r="A249" s="257"/>
      <c r="B249" s="8"/>
      <c r="C249" s="130" t="s">
        <v>406</v>
      </c>
      <c r="D249" s="8"/>
      <c r="E249" s="8"/>
      <c r="F249" s="350">
        <v>11.6</v>
      </c>
      <c r="G249" s="350">
        <v>9.8</v>
      </c>
      <c r="H249" s="466">
        <v>10.3</v>
      </c>
      <c r="I249" s="350">
        <v>9.3</v>
      </c>
      <c r="J249" s="351">
        <f>SUM(F249:I249)</f>
        <v>41</v>
      </c>
      <c r="K249" s="350">
        <v>11</v>
      </c>
      <c r="L249" s="350">
        <v>11</v>
      </c>
      <c r="M249" s="466">
        <v>9</v>
      </c>
      <c r="N249" s="350">
        <v>11</v>
      </c>
      <c r="O249" s="351">
        <f>SUM(K249:N249)</f>
        <v>42</v>
      </c>
      <c r="P249" s="350">
        <v>13</v>
      </c>
      <c r="Q249" s="350">
        <v>10</v>
      </c>
      <c r="R249" s="466">
        <v>10</v>
      </c>
      <c r="S249" s="350"/>
      <c r="T249" s="351">
        <f>SUM(P249:S249)</f>
        <v>33</v>
      </c>
      <c r="U249" s="350"/>
      <c r="V249" s="350"/>
      <c r="W249" s="466"/>
      <c r="X249" s="353">
        <f>X252*X28</f>
        <v>0</v>
      </c>
      <c r="Y249" s="351">
        <f>SUM(U249:X249)</f>
        <v>0</v>
      </c>
      <c r="Z249" s="353">
        <f>Z252*Z28</f>
        <v>0</v>
      </c>
      <c r="AA249" s="353">
        <f>AA252*AA28</f>
        <v>0</v>
      </c>
      <c r="AB249" s="353">
        <f>AB252*AB28</f>
        <v>0</v>
      </c>
      <c r="AC249" s="353">
        <f>AC252*AC28</f>
        <v>0</v>
      </c>
      <c r="AD249" s="351">
        <f>SUM(Z249:AC249)</f>
        <v>0</v>
      </c>
      <c r="AE249" s="351">
        <f>AE252*AE28</f>
        <v>0</v>
      </c>
      <c r="AF249" s="351">
        <f>AF252*AF28</f>
        <v>0</v>
      </c>
      <c r="AG249" s="351">
        <f>AG252*AG28</f>
        <v>0</v>
      </c>
      <c r="AH249" s="8"/>
      <c r="AI249" s="8"/>
      <c r="AJ249" s="8"/>
      <c r="AK249" s="8"/>
    </row>
    <row r="250" ht="13.5" customHeight="1" spans="1:37" x14ac:dyDescent="0.25">
      <c r="A250" s="257"/>
      <c r="B250" s="8"/>
      <c r="C250" s="130" t="s">
        <v>407</v>
      </c>
      <c r="D250" s="8"/>
      <c r="E250" s="8"/>
      <c r="F250" s="348">
        <f>F150</f>
        <v>2343.1</v>
      </c>
      <c r="G250" s="348">
        <f>G150</f>
        <v>2357.7</v>
      </c>
      <c r="H250" s="348">
        <f>H150</f>
        <v>2170.3</v>
      </c>
      <c r="I250" s="467">
        <f>I150</f>
        <v>2120</v>
      </c>
      <c r="J250" s="275">
        <f>J150</f>
        <v>2120</v>
      </c>
      <c r="K250" s="348">
        <f t="shared" ref="K250:V250" si="77">K150</f>
        <v>2107.2</v>
      </c>
      <c r="L250" s="348">
        <f t="shared" si="77"/>
        <v>1953.5</v>
      </c>
      <c r="M250" s="348">
        <f t="shared" si="77"/>
        <v>1803.5</v>
      </c>
      <c r="N250" s="467">
        <f t="shared" si="77"/>
        <v>1657</v>
      </c>
      <c r="O250" s="275">
        <f t="shared" si="77"/>
        <v>1657</v>
      </c>
      <c r="P250" s="348">
        <f t="shared" si="77"/>
        <v>1607</v>
      </c>
      <c r="Q250" s="348">
        <f t="shared" si="77"/>
        <v>1623</v>
      </c>
      <c r="R250" s="467">
        <f t="shared" si="77"/>
        <v>1092</v>
      </c>
      <c r="S250" s="348">
        <f t="shared" si="77"/>
        <v>836</v>
      </c>
      <c r="T250" s="275">
        <f t="shared" si="77"/>
        <v>836</v>
      </c>
      <c r="U250" s="348">
        <f t="shared" si="77"/>
        <v>0</v>
      </c>
      <c r="V250" s="348">
        <f t="shared" si="77"/>
        <v>0</v>
      </c>
      <c r="W250" s="467">
        <f>W150</f>
        <v>0</v>
      </c>
      <c r="X250" s="274">
        <f>SUM(X247:X249)</f>
        <v>0</v>
      </c>
      <c r="Y250" s="275">
        <f>X250</f>
        <v>0</v>
      </c>
      <c r="Z250" s="274">
        <f t="shared" ref="Z250:AG250" si="78">SUM(Z247:Z249)</f>
        <v>0</v>
      </c>
      <c r="AA250" s="274">
        <f t="shared" si="78"/>
        <v>0</v>
      </c>
      <c r="AB250" s="274">
        <f t="shared" si="78"/>
        <v>0</v>
      </c>
      <c r="AC250" s="274">
        <f t="shared" si="78"/>
        <v>0</v>
      </c>
      <c r="AD250" s="275">
        <f t="shared" si="78"/>
        <v>0</v>
      </c>
      <c r="AE250" s="275">
        <f t="shared" si="78"/>
        <v>0</v>
      </c>
      <c r="AF250" s="275">
        <f t="shared" si="78"/>
        <v>0</v>
      </c>
      <c r="AG250" s="275">
        <f t="shared" si="78"/>
        <v>0</v>
      </c>
      <c r="AH250" s="8"/>
      <c r="AI250" s="8"/>
      <c r="AJ250" s="8"/>
      <c r="AK250" s="8"/>
    </row>
    <row r="251" ht="13.5" customHeight="1" spans="1:37" x14ac:dyDescent="0.25">
      <c r="A251" s="257"/>
      <c r="B251" s="8"/>
      <c r="C251" s="8"/>
      <c r="D251" s="8"/>
      <c r="E251" s="8"/>
      <c r="F251" s="308"/>
      <c r="G251" s="308"/>
      <c r="H251" s="308"/>
      <c r="I251" s="463"/>
      <c r="J251" s="8"/>
      <c r="K251" s="308"/>
      <c r="L251" s="308"/>
      <c r="M251" s="308"/>
      <c r="N251" s="463"/>
      <c r="O251" s="8"/>
      <c r="P251" s="308"/>
      <c r="Q251" s="308"/>
      <c r="R251" s="463"/>
      <c r="S251" s="308"/>
      <c r="T251" s="8"/>
      <c r="U251" s="308"/>
      <c r="V251" s="308"/>
      <c r="W251" s="463"/>
      <c r="X251" s="309"/>
      <c r="Y251" s="8"/>
      <c r="Z251" s="309"/>
      <c r="AA251" s="309"/>
      <c r="AB251" s="309"/>
      <c r="AC251" s="309"/>
      <c r="AD251" s="8"/>
      <c r="AE251" s="8"/>
      <c r="AF251" s="8"/>
      <c r="AG251" s="8"/>
      <c r="AH251" s="8"/>
      <c r="AI251" s="8"/>
      <c r="AJ251" s="8"/>
      <c r="AK251" s="8"/>
    </row>
    <row r="252" ht="13.5" customHeight="1" spans="1:37" x14ac:dyDescent="0.25">
      <c r="A252" s="257"/>
      <c r="B252" s="8"/>
      <c r="C252" s="111" t="s">
        <v>408</v>
      </c>
      <c r="D252" s="296"/>
      <c r="E252" s="296"/>
      <c r="F252" s="468">
        <f>F249/F28</f>
        <v>0.0027970679012345677</v>
      </c>
      <c r="G252" s="468">
        <f>G249/G28</f>
        <v>0.0022677835886518263</v>
      </c>
      <c r="H252" s="468">
        <f>H249/H28</f>
        <v>0.002333378641656472</v>
      </c>
      <c r="I252" s="469">
        <f>I249/I28</f>
        <v>0.002115415235538976</v>
      </c>
      <c r="J252" s="470">
        <f>J249/J28</f>
        <v>0.002372808768975236</v>
      </c>
      <c r="K252" s="468">
        <f t="shared" ref="K252:W252" si="79">K249/K28</f>
        <v>0.0024780355936021626</v>
      </c>
      <c r="L252" s="468">
        <f t="shared" si="79"/>
        <v>0.0023589963542783618</v>
      </c>
      <c r="M252" s="468">
        <f t="shared" si="79"/>
        <v>0.0019230769230769232</v>
      </c>
      <c r="N252" s="469">
        <f t="shared" si="79"/>
        <v>0.002373759171342253</v>
      </c>
      <c r="O252" s="470">
        <f t="shared" si="79"/>
        <v>0.0022806255430060816</v>
      </c>
      <c r="P252" s="468">
        <f t="shared" si="79"/>
        <v>0.0028303940779446984</v>
      </c>
      <c r="Q252" s="468">
        <f t="shared" si="79"/>
        <v>0.0020483408439164277</v>
      </c>
      <c r="R252" s="469">
        <f t="shared" si="79"/>
        <v>0.0020716801325875284</v>
      </c>
      <c r="S252" s="468">
        <f t="shared" si="79"/>
        <v>0</v>
      </c>
      <c r="T252" s="470">
        <f t="shared" si="79"/>
        <v>0.0017341951757843292</v>
      </c>
      <c r="U252" s="468">
        <f t="shared" si="79"/>
        <v>0</v>
      </c>
      <c r="V252" s="468">
        <f t="shared" si="79"/>
        <v>0</v>
      </c>
      <c r="W252" s="469">
        <f t="shared" si="79"/>
        <v>0</v>
      </c>
      <c r="X252" s="471">
        <f>W252</f>
        <v>0</v>
      </c>
      <c r="Y252" s="470">
        <f>Y249/Y28</f>
        <v>0</v>
      </c>
      <c r="Z252" s="471">
        <f>X252</f>
        <v>0</v>
      </c>
      <c r="AA252" s="471">
        <f>Z252</f>
        <v>0</v>
      </c>
      <c r="AB252" s="471">
        <f>AA252</f>
        <v>0</v>
      </c>
      <c r="AC252" s="471">
        <f>AB252</f>
        <v>0</v>
      </c>
      <c r="AD252" s="470">
        <f>AD249/AD28</f>
        <v>0</v>
      </c>
      <c r="AE252" s="472">
        <f>AC252</f>
        <v>0</v>
      </c>
      <c r="AF252" s="472">
        <f>AE252</f>
        <v>0</v>
      </c>
      <c r="AG252" s="472">
        <f>AF252</f>
        <v>0</v>
      </c>
      <c r="AH252" s="8"/>
      <c r="AI252" s="8"/>
      <c r="AJ252" s="8"/>
      <c r="AK252" s="8"/>
    </row>
    <row r="253" ht="13.5" customHeight="1" spans="1:37" x14ac:dyDescent="0.25">
      <c r="A253" s="257"/>
      <c r="B253" s="8"/>
      <c r="C253" s="8"/>
      <c r="D253" s="8"/>
      <c r="E253" s="8"/>
      <c r="F253" s="308"/>
      <c r="G253" s="308"/>
      <c r="H253" s="308"/>
      <c r="I253" s="463"/>
      <c r="J253" s="8"/>
      <c r="K253" s="308"/>
      <c r="L253" s="308"/>
      <c r="M253" s="308"/>
      <c r="N253" s="463"/>
      <c r="O253" s="8"/>
      <c r="P253" s="308"/>
      <c r="Q253" s="308"/>
      <c r="R253" s="463"/>
      <c r="S253" s="308"/>
      <c r="T253" s="8"/>
      <c r="U253" s="308"/>
      <c r="V253" s="308"/>
      <c r="W253" s="463"/>
      <c r="X253" s="309"/>
      <c r="Y253" s="8"/>
      <c r="Z253" s="309"/>
      <c r="AA253" s="309"/>
      <c r="AB253" s="309"/>
      <c r="AC253" s="309"/>
      <c r="AD253" s="8"/>
      <c r="AE253" s="8"/>
      <c r="AF253" s="8"/>
      <c r="AG253" s="8"/>
      <c r="AH253" s="8"/>
      <c r="AI253" s="8"/>
      <c r="AJ253" s="8"/>
      <c r="AK253" s="8"/>
    </row>
    <row r="254" ht="13.5" customHeight="1" spans="1:37" x14ac:dyDescent="0.25">
      <c r="A254" s="257"/>
      <c r="B254" s="8"/>
      <c r="C254" s="8" t="s">
        <v>353</v>
      </c>
      <c r="D254" s="8"/>
      <c r="E254" s="8"/>
      <c r="F254" s="308"/>
      <c r="G254" s="308"/>
      <c r="H254" s="401"/>
      <c r="I254" s="401"/>
      <c r="J254" s="8"/>
      <c r="K254" s="308"/>
      <c r="L254" s="308"/>
      <c r="M254" s="401"/>
      <c r="N254" s="401"/>
      <c r="O254" s="8"/>
      <c r="P254" s="401"/>
      <c r="Q254" s="401"/>
      <c r="R254" s="401"/>
      <c r="S254" s="401"/>
      <c r="T254" s="8"/>
      <c r="U254" s="308"/>
      <c r="V254" s="308"/>
      <c r="W254" s="463"/>
      <c r="X254" s="309"/>
      <c r="Y254" s="8"/>
      <c r="Z254" s="309"/>
      <c r="AA254" s="309"/>
      <c r="AB254" s="309"/>
      <c r="AC254" s="309"/>
      <c r="AD254" s="8"/>
      <c r="AE254" s="8"/>
      <c r="AF254" s="8"/>
      <c r="AG254" s="8"/>
      <c r="AH254" s="8"/>
      <c r="AI254" s="8"/>
      <c r="AJ254" s="8"/>
      <c r="AK254" s="8"/>
    </row>
    <row r="255" ht="13.5" customHeight="1" spans="1:37" x14ac:dyDescent="0.25">
      <c r="A255" s="257"/>
      <c r="B255" s="8"/>
      <c r="C255" s="130" t="s">
        <v>404</v>
      </c>
      <c r="D255" s="8"/>
      <c r="E255" s="8"/>
      <c r="F255" s="348">
        <f>E259</f>
        <v>0</v>
      </c>
      <c r="G255" s="348">
        <f>F259</f>
        <v>7582.7</v>
      </c>
      <c r="H255" s="348">
        <f>G259</f>
        <v>7852.7</v>
      </c>
      <c r="I255" s="467">
        <f>H259</f>
        <v>8163.5</v>
      </c>
      <c r="J255" s="275">
        <f>F255</f>
        <v>0</v>
      </c>
      <c r="K255" s="348">
        <f>J259</f>
        <v>8434</v>
      </c>
      <c r="L255" s="348">
        <f>K259</f>
        <v>8717.9</v>
      </c>
      <c r="M255" s="348">
        <f>L259</f>
        <v>9060.7</v>
      </c>
      <c r="N255" s="467">
        <f>M259</f>
        <v>9443.9</v>
      </c>
      <c r="O255" s="275">
        <f>K255</f>
        <v>8434</v>
      </c>
      <c r="P255" s="348">
        <f>O259</f>
        <v>9774</v>
      </c>
      <c r="Q255" s="348">
        <f>P259</f>
        <v>10087</v>
      </c>
      <c r="R255" s="467">
        <f>Q259</f>
        <v>10455</v>
      </c>
      <c r="S255" s="348">
        <f>R259</f>
        <v>10810</v>
      </c>
      <c r="T255" s="275">
        <f>P255</f>
        <v>9774</v>
      </c>
      <c r="U255" s="348">
        <f>T259</f>
        <v>0</v>
      </c>
      <c r="V255" s="348">
        <f>U259</f>
        <v>0</v>
      </c>
      <c r="W255" s="467">
        <f>V259</f>
        <v>0</v>
      </c>
      <c r="X255" s="274">
        <f>W259</f>
        <v>0</v>
      </c>
      <c r="Y255" s="275">
        <f>T259</f>
        <v>0</v>
      </c>
      <c r="Z255" s="274">
        <f>Y259</f>
        <v>10689.851926340601</v>
      </c>
      <c r="AA255" s="274">
        <f>Z259</f>
        <v>11058.863651672915</v>
      </c>
      <c r="AB255" s="274">
        <f>AA259</f>
        <v>11298.256362259934</v>
      </c>
      <c r="AC255" s="274">
        <f>AB259</f>
        <v>11347.836911538567</v>
      </c>
      <c r="AD255" s="275">
        <f>Y259</f>
        <v>10689.851926340601</v>
      </c>
      <c r="AE255" s="275">
        <f>AD259</f>
        <v>11220.583903307763</v>
      </c>
      <c r="AF255" s="275">
        <f>AE259</f>
        <v>11877.461196958719</v>
      </c>
      <c r="AG255" s="275">
        <f>AF259</f>
        <v>12435.566085232937</v>
      </c>
      <c r="AH255" s="8"/>
      <c r="AI255" s="8"/>
      <c r="AJ255" s="8"/>
      <c r="AK255" s="8"/>
    </row>
    <row r="256" ht="13.5" customHeight="1" spans="1:37" x14ac:dyDescent="0.25">
      <c r="A256" s="257"/>
      <c r="B256" s="8"/>
      <c r="C256" s="130" t="s">
        <v>300</v>
      </c>
      <c r="D256" s="8"/>
      <c r="E256" s="8"/>
      <c r="F256" s="401">
        <f>F45</f>
        <v>383.852</v>
      </c>
      <c r="G256" s="401">
        <f>G45</f>
        <v>427.398</v>
      </c>
      <c r="H256" s="401">
        <f>H45</f>
        <v>480.169</v>
      </c>
      <c r="I256" s="461">
        <f>I45</f>
        <v>439.566</v>
      </c>
      <c r="J256" s="153">
        <f>SUM(F256:I256)</f>
        <v>1730.985</v>
      </c>
      <c r="K256" s="401">
        <f>K45</f>
        <v>453.794</v>
      </c>
      <c r="L256" s="401">
        <f>L45</f>
        <v>511.536</v>
      </c>
      <c r="M256" s="401">
        <f>M45</f>
        <v>565.669</v>
      </c>
      <c r="N256" s="461">
        <f>N45</f>
        <v>512.174</v>
      </c>
      <c r="O256" s="153">
        <f>SUM(K256:N256)</f>
        <v>2043.1729999999998</v>
      </c>
      <c r="P256" s="401">
        <f>P45</f>
        <v>494.996</v>
      </c>
      <c r="Q256" s="401">
        <f>Q45</f>
        <v>549.905</v>
      </c>
      <c r="R256" s="461">
        <f>R45</f>
        <v>549.672</v>
      </c>
      <c r="S256" s="401">
        <f>S45</f>
        <v>544.676</v>
      </c>
      <c r="T256" s="153">
        <f>SUM(P256:S256)</f>
        <v>2139.249</v>
      </c>
      <c r="U256" s="401">
        <f>U45</f>
        <v>4152.631</v>
      </c>
      <c r="V256" s="401">
        <f>V45</f>
        <v>4379.486</v>
      </c>
      <c r="W256" s="461">
        <f>W45</f>
        <v>4358.186</v>
      </c>
      <c r="X256" s="358">
        <f>X45</f>
        <v>566.8519263406029</v>
      </c>
      <c r="Y256" s="153">
        <f>SUM(U256:X256)</f>
        <v>2596.1549263406027</v>
      </c>
      <c r="Z256" s="358">
        <f>Z45</f>
        <v>568.1117253323134</v>
      </c>
      <c r="AA256" s="358">
        <f>AA45</f>
        <v>637.5927105870192</v>
      </c>
      <c r="AB256" s="358">
        <f>AB45</f>
        <v>647.9805492786331</v>
      </c>
      <c r="AC256" s="358">
        <f>AC45</f>
        <v>628.4469917691944</v>
      </c>
      <c r="AD256" s="153">
        <f>SUM(Z256:AC256)</f>
        <v>2482.13197696716</v>
      </c>
      <c r="AE256" s="153">
        <f>AE45</f>
        <v>2803.4172936509563</v>
      </c>
      <c r="AF256" s="153">
        <f>AF45</f>
        <v>2919.298888274219</v>
      </c>
      <c r="AG256" s="153">
        <f>AG45</f>
        <v>3107.5490560437593</v>
      </c>
      <c r="AH256" s="8"/>
      <c r="AI256" s="8"/>
      <c r="AJ256" s="8"/>
      <c r="AK256" s="8"/>
    </row>
    <row r="257" ht="13.5" customHeight="1" spans="1:37" x14ac:dyDescent="0.25">
      <c r="A257" s="257"/>
      <c r="B257" s="8"/>
      <c r="C257" s="130" t="s">
        <v>409</v>
      </c>
      <c r="D257" s="8"/>
      <c r="E257" s="8"/>
      <c r="F257" s="473">
        <v>-156.4</v>
      </c>
      <c r="G257" s="473">
        <v>-156.6</v>
      </c>
      <c r="H257" s="473">
        <v>-156.5</v>
      </c>
      <c r="I257" s="473">
        <v>-168.5</v>
      </c>
      <c r="J257" s="153">
        <f>SUM(F257:I257)</f>
        <v>-638</v>
      </c>
      <c r="K257" s="473">
        <v>-168</v>
      </c>
      <c r="L257" s="473">
        <v>-169</v>
      </c>
      <c r="M257" s="473">
        <v>-168</v>
      </c>
      <c r="N257" s="473">
        <v>-182</v>
      </c>
      <c r="O257" s="153">
        <f>SUM(K257:N257)</f>
        <v>-687</v>
      </c>
      <c r="P257" s="356">
        <v>-181</v>
      </c>
      <c r="Q257" s="356">
        <v>-181</v>
      </c>
      <c r="R257" s="473">
        <v>-182</v>
      </c>
      <c r="S257" s="356">
        <v>-194</v>
      </c>
      <c r="T257" s="153">
        <f>SUM(P257:S257)</f>
        <v>-738</v>
      </c>
      <c r="U257" s="356"/>
      <c r="V257" s="356"/>
      <c r="W257" s="473"/>
      <c r="X257" s="358">
        <f>-X270</f>
        <v>0</v>
      </c>
      <c r="Y257" s="153">
        <f>SUM(U257:X257)</f>
        <v>0</v>
      </c>
      <c r="Z257" s="358">
        <f>-Z270</f>
        <v>0</v>
      </c>
      <c r="AA257" s="358">
        <f>-AA270</f>
        <v>0</v>
      </c>
      <c r="AB257" s="358">
        <f>-AB270</f>
        <v>0</v>
      </c>
      <c r="AC257" s="358">
        <f>-AC270</f>
        <v>0</v>
      </c>
      <c r="AD257" s="153">
        <f>SUM(Z257:AC257)</f>
        <v>0</v>
      </c>
      <c r="AE257" s="153">
        <f>-AE270</f>
        <v>0</v>
      </c>
      <c r="AF257" s="153">
        <f>-AF270</f>
        <v>0</v>
      </c>
      <c r="AG257" s="153">
        <f>-AG270</f>
        <v>0</v>
      </c>
      <c r="AH257" s="8"/>
      <c r="AI257" s="8"/>
      <c r="AJ257" s="8"/>
      <c r="AK257" s="8"/>
    </row>
    <row r="258" ht="13.5" customHeight="1" spans="1:37" x14ac:dyDescent="0.25">
      <c r="A258" s="257"/>
      <c r="B258" s="8"/>
      <c r="C258" s="130" t="s">
        <v>410</v>
      </c>
      <c r="D258" s="8"/>
      <c r="E258" s="8"/>
      <c r="F258" s="385">
        <f>F259-SUM(F255:F257)</f>
        <v>7355.248</v>
      </c>
      <c r="G258" s="385">
        <f>G259-SUM(G255:G257)</f>
        <v>-0.7979999999997744</v>
      </c>
      <c r="H258" s="385">
        <f>H259-SUM(H255:H257)</f>
        <v>-12.869000000000597</v>
      </c>
      <c r="I258" s="474">
        <f>I259-SUM(I255:I257)</f>
        <v>-0.566000000000713</v>
      </c>
      <c r="J258" s="351">
        <f>SUM(F258:I258)</f>
        <v>7341.0149999999985</v>
      </c>
      <c r="K258" s="385">
        <f>K259-SUM(K255:K257)</f>
        <v>-1.8940000000002328</v>
      </c>
      <c r="L258" s="385">
        <f>L259-SUM(L255:L257)</f>
        <v>0.2640000000010332</v>
      </c>
      <c r="M258" s="385">
        <f>M259-SUM(M255:M257)</f>
        <v>-14.46900000000096</v>
      </c>
      <c r="N258" s="474">
        <f>N259-SUM(N255:N257)</f>
        <v>-0.07400000000052387</v>
      </c>
      <c r="O258" s="351">
        <f>SUM(K258:N258)</f>
        <v>-16.173000000000684</v>
      </c>
      <c r="P258" s="385">
        <f>P259-SUM(P255:P257)</f>
        <v>-0.9959999999991851</v>
      </c>
      <c r="Q258" s="385">
        <f>Q259-SUM(Q255:Q257)</f>
        <v>-0.9050000000006548</v>
      </c>
      <c r="R258" s="474">
        <f>R259-SUM(R255:R257)</f>
        <v>-12.67200000000048</v>
      </c>
      <c r="S258" s="385">
        <f>S259-SUM(S255:S257)</f>
        <v>0.32400000000052387</v>
      </c>
      <c r="T258" s="351">
        <f>SUM(P258:S258)</f>
        <v>-14.248999999999796</v>
      </c>
      <c r="U258" s="385">
        <f>U259-SUM(U255:U257)</f>
        <v>-4152.631</v>
      </c>
      <c r="V258" s="385">
        <f>V259-SUM(V255:V257)</f>
        <v>-4379.486</v>
      </c>
      <c r="W258" s="474">
        <f>W259-SUM(W255:W257)</f>
        <v>-4358.186</v>
      </c>
      <c r="X258" s="379">
        <v>0</v>
      </c>
      <c r="Y258" s="351">
        <f>SUM(U258:X258)</f>
        <v>-12890.303</v>
      </c>
      <c r="Z258" s="379">
        <v>0</v>
      </c>
      <c r="AA258" s="379">
        <v>0</v>
      </c>
      <c r="AB258" s="379">
        <v>0</v>
      </c>
      <c r="AC258" s="379">
        <v>0</v>
      </c>
      <c r="AD258" s="351">
        <f>SUM(Z258:AC258)</f>
        <v>0</v>
      </c>
      <c r="AE258" s="380">
        <v>0</v>
      </c>
      <c r="AF258" s="380">
        <v>0</v>
      </c>
      <c r="AG258" s="380">
        <v>0</v>
      </c>
      <c r="AH258" s="8"/>
      <c r="AI258" s="8"/>
      <c r="AJ258" s="8"/>
      <c r="AK258" s="8"/>
    </row>
    <row r="259" ht="13.5" customHeight="1" spans="1:37" x14ac:dyDescent="0.25">
      <c r="A259" s="257"/>
      <c r="B259" s="8"/>
      <c r="C259" s="130" t="s">
        <v>407</v>
      </c>
      <c r="D259" s="8"/>
      <c r="E259" s="8"/>
      <c r="F259" s="348">
        <f>F151</f>
        <v>7582.7</v>
      </c>
      <c r="G259" s="348">
        <f>G151</f>
        <v>7852.7</v>
      </c>
      <c r="H259" s="348">
        <f>H151</f>
        <v>8163.5</v>
      </c>
      <c r="I259" s="467">
        <f>I151</f>
        <v>8434</v>
      </c>
      <c r="J259" s="275">
        <f>J151</f>
        <v>8434</v>
      </c>
      <c r="K259" s="348">
        <f t="shared" ref="K259:V259" si="80">K151</f>
        <v>8717.9</v>
      </c>
      <c r="L259" s="348">
        <f t="shared" si="80"/>
        <v>9060.7</v>
      </c>
      <c r="M259" s="348">
        <f t="shared" si="80"/>
        <v>9443.9</v>
      </c>
      <c r="N259" s="467">
        <f t="shared" si="80"/>
        <v>9774</v>
      </c>
      <c r="O259" s="275">
        <f t="shared" si="80"/>
        <v>9774</v>
      </c>
      <c r="P259" s="348">
        <f t="shared" si="80"/>
        <v>10087</v>
      </c>
      <c r="Q259" s="348">
        <f t="shared" si="80"/>
        <v>10455</v>
      </c>
      <c r="R259" s="467">
        <f t="shared" si="80"/>
        <v>10810</v>
      </c>
      <c r="S259" s="348">
        <f t="shared" si="80"/>
        <v>11161</v>
      </c>
      <c r="T259" s="275">
        <f t="shared" si="80"/>
        <v>11161</v>
      </c>
      <c r="U259" s="348">
        <f t="shared" si="80"/>
        <v>0</v>
      </c>
      <c r="V259" s="348">
        <f t="shared" si="80"/>
        <v>0</v>
      </c>
      <c r="W259" s="467">
        <f>W151</f>
        <v>0</v>
      </c>
      <c r="X259" s="274">
        <f t="shared" ref="X259:AF259" si="81">SUM(X255:X258)</f>
        <v>10689.851926340603</v>
      </c>
      <c r="Y259" s="275">
        <f t="shared" si="81"/>
        <v>10689.851926340601</v>
      </c>
      <c r="Z259" s="274">
        <f t="shared" si="81"/>
        <v>11058.863651672915</v>
      </c>
      <c r="AA259" s="274">
        <f t="shared" si="81"/>
        <v>11298.256362259934</v>
      </c>
      <c r="AB259" s="274">
        <f t="shared" si="81"/>
        <v>11347.836911538567</v>
      </c>
      <c r="AC259" s="274">
        <f t="shared" si="81"/>
        <v>11220.583903307761</v>
      </c>
      <c r="AD259" s="275">
        <f t="shared" si="81"/>
        <v>11220.583903307763</v>
      </c>
      <c r="AE259" s="275">
        <f t="shared" si="81"/>
        <v>11877.461196958719</v>
      </c>
      <c r="AF259" s="275">
        <f t="shared" si="81"/>
        <v>12435.566085232937</v>
      </c>
      <c r="AG259" s="275">
        <f>SUM(AG255:AG258)</f>
        <v>12945.801741276695</v>
      </c>
      <c r="AH259" s="8"/>
      <c r="AI259" s="8"/>
      <c r="AJ259" s="8"/>
      <c r="AK259" s="8"/>
    </row>
    <row r="260" ht="13.5" customHeight="1" spans="1:37" x14ac:dyDescent="0.25">
      <c r="A260" s="257"/>
      <c r="B260" s="8"/>
      <c r="C260" s="8"/>
      <c r="D260" s="8"/>
      <c r="E260" s="8"/>
      <c r="F260" s="308"/>
      <c r="G260" s="308"/>
      <c r="H260" s="308"/>
      <c r="I260" s="463"/>
      <c r="J260" s="8"/>
      <c r="K260" s="308"/>
      <c r="L260" s="308"/>
      <c r="M260" s="308"/>
      <c r="N260" s="463"/>
      <c r="O260" s="8"/>
      <c r="P260" s="308"/>
      <c r="Q260" s="308"/>
      <c r="R260" s="463"/>
      <c r="S260" s="308"/>
      <c r="T260" s="8"/>
      <c r="U260" s="308"/>
      <c r="V260" s="308"/>
      <c r="W260" s="463"/>
      <c r="X260" s="309"/>
      <c r="Y260" s="8"/>
      <c r="Z260" s="309"/>
      <c r="AA260" s="309"/>
      <c r="AB260" s="309"/>
      <c r="AC260" s="309"/>
      <c r="AD260" s="8"/>
      <c r="AE260" s="8"/>
      <c r="AF260" s="8"/>
      <c r="AG260" s="8"/>
      <c r="AH260" s="8"/>
      <c r="AI260" s="8"/>
      <c r="AJ260" s="8"/>
      <c r="AK260" s="8"/>
    </row>
    <row r="261" ht="13.5" customHeight="1" spans="1:37" x14ac:dyDescent="0.25">
      <c r="A261" s="257"/>
      <c r="B261" s="8"/>
      <c r="C261" s="8" t="s">
        <v>411</v>
      </c>
      <c r="D261" s="8"/>
      <c r="E261" s="8"/>
      <c r="F261" s="308"/>
      <c r="G261" s="308"/>
      <c r="H261" s="308"/>
      <c r="I261" s="463"/>
      <c r="J261" s="8"/>
      <c r="K261" s="308"/>
      <c r="L261" s="308"/>
      <c r="M261" s="308"/>
      <c r="N261" s="463"/>
      <c r="O261" s="8"/>
      <c r="P261" s="308"/>
      <c r="Q261" s="308"/>
      <c r="R261" s="308"/>
      <c r="S261" s="308"/>
      <c r="T261" s="8"/>
      <c r="U261" s="308"/>
      <c r="V261" s="308"/>
      <c r="W261" s="308"/>
      <c r="X261" s="309"/>
      <c r="Y261" s="8"/>
      <c r="Z261" s="309"/>
      <c r="AA261" s="309"/>
      <c r="AB261" s="309"/>
      <c r="AC261" s="309"/>
      <c r="AD261" s="8"/>
      <c r="AE261" s="8"/>
      <c r="AF261" s="8"/>
      <c r="AG261" s="8"/>
      <c r="AH261" s="8"/>
      <c r="AI261" s="8"/>
      <c r="AJ261" s="8"/>
      <c r="AK261" s="8"/>
    </row>
    <row r="262" ht="13.5" customHeight="1" spans="1:37" x14ac:dyDescent="0.25">
      <c r="A262" s="257"/>
      <c r="B262" s="8"/>
      <c r="C262" s="130" t="s">
        <v>404</v>
      </c>
      <c r="D262" s="8"/>
      <c r="E262" s="8"/>
      <c r="F262" s="348">
        <f>E264</f>
        <v>0</v>
      </c>
      <c r="G262" s="348">
        <f>F264</f>
        <v>-9.3</v>
      </c>
      <c r="H262" s="348">
        <f>G264</f>
        <v>-6.7</v>
      </c>
      <c r="I262" s="467">
        <f>H264</f>
        <v>-2.5</v>
      </c>
      <c r="J262" s="275">
        <f>F262</f>
        <v>0</v>
      </c>
      <c r="K262" s="348">
        <f>J264</f>
        <v>-12</v>
      </c>
      <c r="L262" s="348">
        <f>K264</f>
        <v>-5.3</v>
      </c>
      <c r="M262" s="348">
        <f>L264</f>
        <v>-9.1</v>
      </c>
      <c r="N262" s="467">
        <f>M264</f>
        <v>-18.6</v>
      </c>
      <c r="O262" s="275">
        <f>K262</f>
        <v>-12</v>
      </c>
      <c r="P262" s="348">
        <f>O264</f>
        <v>-26</v>
      </c>
      <c r="Q262" s="348">
        <f>P264</f>
        <v>-31</v>
      </c>
      <c r="R262" s="348">
        <f>Q264</f>
        <v>-28</v>
      </c>
      <c r="S262" s="348">
        <f>R264</f>
        <v>-31</v>
      </c>
      <c r="T262" s="275">
        <f>P262</f>
        <v>-26</v>
      </c>
      <c r="U262" s="348">
        <f>T264</f>
        <v>0</v>
      </c>
      <c r="V262" s="348">
        <f>U264</f>
        <v>0</v>
      </c>
      <c r="W262" s="348">
        <f>V264</f>
        <v>0</v>
      </c>
      <c r="X262" s="274">
        <f>W264</f>
        <v>0</v>
      </c>
      <c r="Y262" s="275">
        <f>T264</f>
        <v>0</v>
      </c>
      <c r="Z262" s="274">
        <f>Y264</f>
        <v>0</v>
      </c>
      <c r="AA262" s="274">
        <f>Z264</f>
        <v>0</v>
      </c>
      <c r="AB262" s="274">
        <f>AA264</f>
        <v>0</v>
      </c>
      <c r="AC262" s="274">
        <f>AB264</f>
        <v>0</v>
      </c>
      <c r="AD262" s="275">
        <f>Y264</f>
        <v>0</v>
      </c>
      <c r="AE262" s="275">
        <f>AD264</f>
        <v>0</v>
      </c>
      <c r="AF262" s="275">
        <f>AE264</f>
        <v>0</v>
      </c>
      <c r="AG262" s="275">
        <f>AF264</f>
        <v>0</v>
      </c>
      <c r="AH262" s="8"/>
      <c r="AI262" s="8"/>
      <c r="AJ262" s="8"/>
      <c r="AK262" s="8"/>
    </row>
    <row r="263" ht="13.5" customHeight="1" spans="1:37" x14ac:dyDescent="0.25">
      <c r="A263" s="257"/>
      <c r="B263" s="8"/>
      <c r="C263" s="130" t="s">
        <v>412</v>
      </c>
      <c r="D263" s="8"/>
      <c r="E263" s="8"/>
      <c r="F263" s="385">
        <f>F264-F262</f>
        <v>-9.3</v>
      </c>
      <c r="G263" s="385">
        <f>G264-G262</f>
        <v>2.6000000000000005</v>
      </c>
      <c r="H263" s="385">
        <f>H264-H262</f>
        <v>4.2</v>
      </c>
      <c r="I263" s="474">
        <f>I264-I262</f>
        <v>-9.5</v>
      </c>
      <c r="J263" s="351">
        <f>SUM(F263:I263)</f>
        <v>-12</v>
      </c>
      <c r="K263" s="385">
        <f>K264-K262</f>
        <v>6.7</v>
      </c>
      <c r="L263" s="385">
        <f>L264-L262</f>
        <v>-3.8</v>
      </c>
      <c r="M263" s="385">
        <f>M264-M262</f>
        <v>-9.500000000000002</v>
      </c>
      <c r="N263" s="474">
        <f>N264-N262</f>
        <v>-7.399999999999999</v>
      </c>
      <c r="O263" s="351">
        <f>SUM(K263:N263)</f>
        <v>-14</v>
      </c>
      <c r="P263" s="385">
        <f>P264-P262</f>
        <v>-5</v>
      </c>
      <c r="Q263" s="385">
        <f>Q264-Q262</f>
        <v>3</v>
      </c>
      <c r="R263" s="385">
        <f>R264-R262</f>
        <v>-3</v>
      </c>
      <c r="S263" s="385">
        <f>S264-S262</f>
        <v>2</v>
      </c>
      <c r="T263" s="351">
        <f>SUM(P263:S263)</f>
        <v>-3</v>
      </c>
      <c r="U263" s="385">
        <f>U264-U262</f>
        <v>0</v>
      </c>
      <c r="V263" s="385">
        <f>V264-V262</f>
        <v>0</v>
      </c>
      <c r="W263" s="385">
        <f>W264-W262</f>
        <v>0</v>
      </c>
      <c r="X263" s="405">
        <f>Drivers!X108</f>
        <v>0</v>
      </c>
      <c r="Y263" s="351">
        <f>SUM(U263:X263)</f>
        <v>0</v>
      </c>
      <c r="Z263" s="405">
        <f>Drivers!Z108</f>
        <v>0</v>
      </c>
      <c r="AA263" s="405">
        <f>Drivers!AA108</f>
        <v>0</v>
      </c>
      <c r="AB263" s="405">
        <f>Drivers!AB108</f>
        <v>0</v>
      </c>
      <c r="AC263" s="405">
        <f>Drivers!AC108</f>
        <v>0</v>
      </c>
      <c r="AD263" s="351">
        <f>SUM(Z263:AC263)</f>
        <v>0</v>
      </c>
      <c r="AE263" s="411">
        <f>Drivers!AE108</f>
        <v>0</v>
      </c>
      <c r="AF263" s="411">
        <f>Drivers!AF108</f>
        <v>0</v>
      </c>
      <c r="AG263" s="411">
        <f>Drivers!AG108</f>
        <v>0</v>
      </c>
      <c r="AH263" s="8"/>
      <c r="AI263" s="8"/>
      <c r="AJ263" s="8"/>
      <c r="AK263" s="8"/>
    </row>
    <row r="264" ht="13.5" customHeight="1" spans="1:37" x14ac:dyDescent="0.25">
      <c r="A264" s="257"/>
      <c r="B264" s="8"/>
      <c r="C264" s="130" t="s">
        <v>407</v>
      </c>
      <c r="D264" s="8"/>
      <c r="E264" s="8"/>
      <c r="F264" s="348">
        <f>F153</f>
        <v>-9.3</v>
      </c>
      <c r="G264" s="348">
        <f>G153</f>
        <v>-6.7</v>
      </c>
      <c r="H264" s="348">
        <f>H153</f>
        <v>-2.5</v>
      </c>
      <c r="I264" s="348">
        <f>I153</f>
        <v>-12</v>
      </c>
      <c r="J264" s="275">
        <f>SUM(J262:J263)</f>
        <v>-12</v>
      </c>
      <c r="K264" s="348">
        <f>K153</f>
        <v>-5.3</v>
      </c>
      <c r="L264" s="348">
        <f>L153</f>
        <v>-9.1</v>
      </c>
      <c r="M264" s="348">
        <f>M153</f>
        <v>-18.6</v>
      </c>
      <c r="N264" s="348">
        <f>N153</f>
        <v>-26</v>
      </c>
      <c r="O264" s="275">
        <f>SUM(O262:O263)</f>
        <v>-26</v>
      </c>
      <c r="P264" s="348">
        <f>P153</f>
        <v>-31</v>
      </c>
      <c r="Q264" s="348">
        <f>Q153</f>
        <v>-28</v>
      </c>
      <c r="R264" s="348">
        <f>R153</f>
        <v>-31</v>
      </c>
      <c r="S264" s="348">
        <f>S153</f>
        <v>-29</v>
      </c>
      <c r="T264" s="275">
        <f>SUM(T262:T263)</f>
        <v>-29</v>
      </c>
      <c r="U264" s="348">
        <f>U153</f>
        <v>0</v>
      </c>
      <c r="V264" s="348">
        <f>V153</f>
        <v>0</v>
      </c>
      <c r="W264" s="348">
        <f>W153</f>
        <v>0</v>
      </c>
      <c r="X264" s="274">
        <f t="shared" ref="X264:AG264" si="82">SUM(X262:X263)</f>
        <v>0</v>
      </c>
      <c r="Y264" s="275">
        <f t="shared" si="82"/>
        <v>0</v>
      </c>
      <c r="Z264" s="274">
        <f t="shared" si="82"/>
        <v>0</v>
      </c>
      <c r="AA264" s="274">
        <f t="shared" si="82"/>
        <v>0</v>
      </c>
      <c r="AB264" s="274">
        <f t="shared" si="82"/>
        <v>0</v>
      </c>
      <c r="AC264" s="274">
        <f t="shared" si="82"/>
        <v>0</v>
      </c>
      <c r="AD264" s="275">
        <f t="shared" si="82"/>
        <v>0</v>
      </c>
      <c r="AE264" s="275">
        <f t="shared" si="82"/>
        <v>0</v>
      </c>
      <c r="AF264" s="275">
        <f t="shared" si="82"/>
        <v>0</v>
      </c>
      <c r="AG264" s="275">
        <f t="shared" si="82"/>
        <v>0</v>
      </c>
      <c r="AH264" s="8"/>
      <c r="AI264" s="8"/>
      <c r="AJ264" s="8"/>
      <c r="AK264" s="8"/>
    </row>
    <row r="265" ht="13.5" customHeight="1" spans="1:37" x14ac:dyDescent="0.25">
      <c r="A265" s="257"/>
      <c r="B265" s="8"/>
      <c r="C265" s="8"/>
      <c r="D265" s="8"/>
      <c r="E265" s="8"/>
      <c r="F265" s="308"/>
      <c r="G265" s="308"/>
      <c r="H265" s="308"/>
      <c r="I265" s="308"/>
      <c r="J265" s="8"/>
      <c r="K265" s="308"/>
      <c r="L265" s="308"/>
      <c r="M265" s="308"/>
      <c r="N265" s="308"/>
      <c r="O265" s="8"/>
      <c r="P265" s="308"/>
      <c r="Q265" s="308"/>
      <c r="R265" s="308"/>
      <c r="S265" s="308"/>
      <c r="T265" s="8"/>
      <c r="U265" s="308"/>
      <c r="V265" s="308"/>
      <c r="W265" s="308"/>
      <c r="X265" s="309"/>
      <c r="Y265" s="8"/>
      <c r="Z265" s="309"/>
      <c r="AA265" s="309"/>
      <c r="AB265" s="309"/>
      <c r="AC265" s="309"/>
      <c r="AD265" s="8"/>
      <c r="AE265" s="8"/>
      <c r="AF265" s="8"/>
      <c r="AG265" s="8"/>
      <c r="AH265" s="8"/>
      <c r="AI265" s="8"/>
      <c r="AJ265" s="8"/>
      <c r="AK265" s="8"/>
    </row>
    <row r="266" ht="13.5" customHeight="1" spans="1:37" x14ac:dyDescent="0.25">
      <c r="A266" s="257"/>
      <c r="B266" s="8"/>
      <c r="C266" s="8" t="s">
        <v>413</v>
      </c>
      <c r="D266" s="8"/>
      <c r="E266" s="8"/>
      <c r="F266" s="308"/>
      <c r="G266" s="308"/>
      <c r="H266" s="308"/>
      <c r="I266" s="308"/>
      <c r="J266" s="8"/>
      <c r="K266" s="308"/>
      <c r="L266" s="308"/>
      <c r="M266" s="308"/>
      <c r="N266" s="308"/>
      <c r="O266" s="8"/>
      <c r="P266" s="308"/>
      <c r="Q266" s="308"/>
      <c r="R266" s="308"/>
      <c r="S266" s="308"/>
      <c r="T266" s="8"/>
      <c r="U266" s="308"/>
      <c r="V266" s="308"/>
      <c r="W266" s="308"/>
      <c r="X266" s="309"/>
      <c r="Y266" s="8"/>
      <c r="Z266" s="309"/>
      <c r="AA266" s="309"/>
      <c r="AB266" s="309"/>
      <c r="AC266" s="309"/>
      <c r="AD266" s="8"/>
      <c r="AE266" s="8"/>
      <c r="AF266" s="8"/>
      <c r="AG266" s="8"/>
      <c r="AH266" s="8"/>
      <c r="AI266" s="8"/>
      <c r="AJ266" s="8"/>
      <c r="AK266" s="8"/>
    </row>
    <row r="267" ht="13.5" customHeight="1" spans="1:37" x14ac:dyDescent="0.25">
      <c r="A267" s="257"/>
      <c r="B267" s="8"/>
      <c r="C267" s="130" t="s">
        <v>414</v>
      </c>
      <c r="D267" s="8"/>
      <c r="E267" s="8"/>
      <c r="F267" s="381" t="e">
        <f>F270/F269</f>
        <v>#DIV/0!</v>
      </c>
      <c r="G267" s="381" t="e">
        <f>G270/G269</f>
        <v>#DIV/0!</v>
      </c>
      <c r="H267" s="381" t="e">
        <f>H270/H269</f>
        <v>#DIV/0!</v>
      </c>
      <c r="I267" s="381" t="e">
        <f>I270/I269</f>
        <v>#DIV/0!</v>
      </c>
      <c r="J267" s="118" t="e">
        <f>J270/J269</f>
        <v>#DIV/0!</v>
      </c>
      <c r="K267" s="381" t="e">
        <f t="shared" ref="K267:AG267" si="83">K270/K269</f>
        <v>#DIV/0!</v>
      </c>
      <c r="L267" s="381" t="e">
        <f t="shared" si="83"/>
        <v>#DIV/0!</v>
      </c>
      <c r="M267" s="381" t="e">
        <f t="shared" si="83"/>
        <v>#DIV/0!</v>
      </c>
      <c r="N267" s="381" t="e">
        <f t="shared" si="83"/>
        <v>#DIV/0!</v>
      </c>
      <c r="O267" s="118" t="e">
        <f t="shared" si="83"/>
        <v>#DIV/0!</v>
      </c>
      <c r="P267" s="381" t="e">
        <f t="shared" si="83"/>
        <v>#DIV/0!</v>
      </c>
      <c r="Q267" s="381" t="e">
        <f t="shared" si="83"/>
        <v>#DIV/0!</v>
      </c>
      <c r="R267" s="381" t="e">
        <f t="shared" si="83"/>
        <v>#DIV/0!</v>
      </c>
      <c r="S267" s="381" t="e">
        <f t="shared" si="83"/>
        <v>#DIV/0!</v>
      </c>
      <c r="T267" s="118" t="e">
        <f t="shared" si="83"/>
        <v>#DIV/0!</v>
      </c>
      <c r="U267" s="381" t="e">
        <f t="shared" si="83"/>
        <v>#DIV/0!</v>
      </c>
      <c r="V267" s="381" t="e">
        <f t="shared" si="83"/>
        <v>#DIV/0!</v>
      </c>
      <c r="W267" s="381" t="e">
        <f>W270/W269</f>
        <v>#DIV/0!</v>
      </c>
      <c r="X267" s="475" t="e">
        <f t="shared" si="83"/>
        <v>#DIV/0!</v>
      </c>
      <c r="Y267" s="225" t="e">
        <f t="shared" si="83"/>
        <v>#DIV/0!</v>
      </c>
      <c r="Z267" s="475">
        <f t="shared" si="83"/>
        <v>0</v>
      </c>
      <c r="AA267" s="475">
        <f t="shared" si="83"/>
        <v>0</v>
      </c>
      <c r="AB267" s="475">
        <f t="shared" si="83"/>
        <v>0</v>
      </c>
      <c r="AC267" s="475">
        <f t="shared" si="83"/>
        <v>0</v>
      </c>
      <c r="AD267" s="225">
        <f t="shared" si="83"/>
        <v>0</v>
      </c>
      <c r="AE267" s="225">
        <f t="shared" si="83"/>
        <v>0</v>
      </c>
      <c r="AF267" s="225">
        <f t="shared" si="83"/>
        <v>0</v>
      </c>
      <c r="AG267" s="225">
        <f t="shared" si="83"/>
        <v>0</v>
      </c>
      <c r="AH267" s="8"/>
      <c r="AI267" s="8"/>
      <c r="AJ267" s="8"/>
      <c r="AK267" s="8"/>
    </row>
    <row r="268" ht="13.5" customHeight="1" spans="1:37" x14ac:dyDescent="0.25">
      <c r="A268" s="257"/>
      <c r="B268" s="8"/>
      <c r="C268" s="130" t="s">
        <v>47</v>
      </c>
      <c r="D268" s="8"/>
      <c r="E268" s="8"/>
      <c r="F268" s="417" t="e">
        <f>4*F267/F242</f>
        <v>#DIV/0!</v>
      </c>
      <c r="G268" s="417" t="e">
        <f>4*G267/G242</f>
        <v>#DIV/0!</v>
      </c>
      <c r="H268" s="417" t="e">
        <f>4*H267/H242</f>
        <v>#DIV/0!</v>
      </c>
      <c r="I268" s="417" t="e">
        <f>4*I267/I242</f>
        <v>#DIV/0!</v>
      </c>
      <c r="J268" s="418" t="e">
        <f>J267/J242</f>
        <v>#DIV/0!</v>
      </c>
      <c r="K268" s="417" t="e">
        <f>4*K267/K242</f>
        <v>#DIV/0!</v>
      </c>
      <c r="L268" s="417" t="e">
        <f>4*L267/L242</f>
        <v>#DIV/0!</v>
      </c>
      <c r="M268" s="417" t="e">
        <f>4*M267/M242</f>
        <v>#DIV/0!</v>
      </c>
      <c r="N268" s="417" t="e">
        <f>4*N267/N242</f>
        <v>#DIV/0!</v>
      </c>
      <c r="O268" s="418" t="e">
        <f>O267/O242</f>
        <v>#DIV/0!</v>
      </c>
      <c r="P268" s="417" t="e">
        <f>4*P267/P242</f>
        <v>#DIV/0!</v>
      </c>
      <c r="Q268" s="417" t="e">
        <f>4*Q267/Q242</f>
        <v>#DIV/0!</v>
      </c>
      <c r="R268" s="417" t="e">
        <f>4*R267/R242</f>
        <v>#DIV/0!</v>
      </c>
      <c r="S268" s="417" t="e">
        <f>4*S267/S242</f>
        <v>#DIV/0!</v>
      </c>
      <c r="T268" s="418" t="e">
        <f>T267/T242</f>
        <v>#DIV/0!</v>
      </c>
      <c r="U268" s="417" t="e">
        <f>4*U267/U242</f>
        <v>#DIV/0!</v>
      </c>
      <c r="V268" s="417" t="e">
        <f>4*V267/V242</f>
        <v>#DIV/0!</v>
      </c>
      <c r="W268" s="417" t="e">
        <f>4*W267/W242</f>
        <v>#DIV/0!</v>
      </c>
      <c r="X268" s="419" t="e">
        <f>X267*4/X242</f>
        <v>#DIV/0!</v>
      </c>
      <c r="Y268" s="418" t="e">
        <f>Y267/Y242</f>
        <v>#DIV/0!</v>
      </c>
      <c r="Z268" s="419">
        <f>Z267*4/Z242</f>
        <v>0</v>
      </c>
      <c r="AA268" s="419">
        <f>AA267*4/AA242</f>
        <v>0</v>
      </c>
      <c r="AB268" s="419">
        <f>AB267*4/AB242</f>
        <v>0</v>
      </c>
      <c r="AC268" s="419">
        <f>AC267*4/AC242</f>
        <v>0</v>
      </c>
      <c r="AD268" s="418">
        <f>AD267/AD242</f>
        <v>0</v>
      </c>
      <c r="AE268" s="418">
        <f>AE267/AE242</f>
        <v>0</v>
      </c>
      <c r="AF268" s="418">
        <f>AF267/AF242</f>
        <v>0</v>
      </c>
      <c r="AG268" s="418">
        <f>AG267/AG242</f>
        <v>0</v>
      </c>
      <c r="AH268" s="8"/>
      <c r="AI268" s="8"/>
      <c r="AJ268" s="8"/>
      <c r="AK268" s="8"/>
    </row>
    <row r="269" ht="13.5" customHeight="1" spans="1:37" x14ac:dyDescent="0.25">
      <c r="A269" s="257"/>
      <c r="B269" s="8"/>
      <c r="C269" s="130" t="s">
        <v>415</v>
      </c>
      <c r="D269" s="8"/>
      <c r="E269" s="8"/>
      <c r="F269" s="401">
        <f>F285</f>
        <v>0</v>
      </c>
      <c r="G269" s="401">
        <f>G285</f>
        <v>0</v>
      </c>
      <c r="H269" s="401">
        <f>H285</f>
        <v>0</v>
      </c>
      <c r="I269" s="401">
        <f>I285</f>
        <v>0</v>
      </c>
      <c r="J269" s="153">
        <f>J285</f>
        <v>0</v>
      </c>
      <c r="K269" s="401">
        <f t="shared" ref="K269:AG269" si="84">K285</f>
        <v>0</v>
      </c>
      <c r="L269" s="401">
        <f t="shared" si="84"/>
        <v>0</v>
      </c>
      <c r="M269" s="401">
        <f t="shared" si="84"/>
        <v>0</v>
      </c>
      <c r="N269" s="401">
        <f t="shared" si="84"/>
        <v>0</v>
      </c>
      <c r="O269" s="153">
        <f t="shared" si="84"/>
        <v>0</v>
      </c>
      <c r="P269" s="401">
        <f t="shared" si="84"/>
        <v>0</v>
      </c>
      <c r="Q269" s="401">
        <f t="shared" si="84"/>
        <v>0</v>
      </c>
      <c r="R269" s="401">
        <f t="shared" si="84"/>
        <v>0</v>
      </c>
      <c r="S269" s="401">
        <f t="shared" si="84"/>
        <v>0</v>
      </c>
      <c r="T269" s="153">
        <f t="shared" si="84"/>
        <v>0</v>
      </c>
      <c r="U269" s="401">
        <f t="shared" si="84"/>
        <v>0</v>
      </c>
      <c r="V269" s="401">
        <f t="shared" si="84"/>
        <v>0</v>
      </c>
      <c r="W269" s="401">
        <f>W285</f>
        <v>0</v>
      </c>
      <c r="X269" s="358">
        <f t="shared" si="84"/>
        <v>0</v>
      </c>
      <c r="Y269" s="153">
        <f t="shared" si="84"/>
        <v>0</v>
      </c>
      <c r="Z269" s="358">
        <f t="shared" si="84"/>
        <v>-1.4864864864864864</v>
      </c>
      <c r="AA269" s="358">
        <f t="shared" si="84"/>
        <v>-2.972972972972973</v>
      </c>
      <c r="AB269" s="358">
        <f t="shared" si="84"/>
        <v>-2.972972972972973</v>
      </c>
      <c r="AC269" s="358">
        <f t="shared" si="84"/>
        <v>-2.972972972972973</v>
      </c>
      <c r="AD269" s="153">
        <f t="shared" si="84"/>
        <v>-2.6013513513513513</v>
      </c>
      <c r="AE269" s="153">
        <f t="shared" si="84"/>
        <v>-4.336609336609337</v>
      </c>
      <c r="AF269" s="153">
        <f t="shared" si="84"/>
        <v>-7.177518427518428</v>
      </c>
      <c r="AG269" s="153">
        <f t="shared" si="84"/>
        <v>-10.101072146526693</v>
      </c>
      <c r="AH269" s="8"/>
      <c r="AI269" s="8"/>
      <c r="AJ269" s="8"/>
      <c r="AK269" s="8"/>
    </row>
    <row r="270" ht="13.5" customHeight="1" spans="1:37" x14ac:dyDescent="0.25">
      <c r="A270" s="257"/>
      <c r="B270" s="8"/>
      <c r="C270" s="130" t="s">
        <v>416</v>
      </c>
      <c r="D270" s="8"/>
      <c r="E270" s="8"/>
      <c r="F270" s="348">
        <f>-F257</f>
        <v>156.4</v>
      </c>
      <c r="G270" s="348">
        <f>-G257</f>
        <v>156.6</v>
      </c>
      <c r="H270" s="348">
        <f>-H257</f>
        <v>156.5</v>
      </c>
      <c r="I270" s="348">
        <f>-I257</f>
        <v>168.5</v>
      </c>
      <c r="J270" s="275">
        <f>SUM(F270:I270)</f>
        <v>638</v>
      </c>
      <c r="K270" s="348">
        <f>-K257</f>
        <v>168</v>
      </c>
      <c r="L270" s="348">
        <f>-L257</f>
        <v>169</v>
      </c>
      <c r="M270" s="348">
        <f>-M257</f>
        <v>168</v>
      </c>
      <c r="N270" s="348">
        <f>-N257</f>
        <v>182</v>
      </c>
      <c r="O270" s="275">
        <f>SUM(K270:N270)</f>
        <v>687</v>
      </c>
      <c r="P270" s="348">
        <f>-P257</f>
        <v>181</v>
      </c>
      <c r="Q270" s="348">
        <f>-Q257</f>
        <v>181</v>
      </c>
      <c r="R270" s="348">
        <f>-R257</f>
        <v>182</v>
      </c>
      <c r="S270" s="348">
        <f>-S257</f>
        <v>194</v>
      </c>
      <c r="T270" s="275">
        <f>SUM(P270:S270)</f>
        <v>738</v>
      </c>
      <c r="U270" s="348">
        <f>-U257</f>
        <v>0</v>
      </c>
      <c r="V270" s="348">
        <f>-V257</f>
        <v>0</v>
      </c>
      <c r="W270" s="348">
        <f>-W257</f>
        <v>0</v>
      </c>
      <c r="X270" s="274">
        <f>S270*(1+X276)</f>
        <v>0</v>
      </c>
      <c r="Y270" s="275">
        <f>SUM(U270:X270)</f>
        <v>0</v>
      </c>
      <c r="Z270" s="274">
        <f>U270*(1+Z276)</f>
        <v>0</v>
      </c>
      <c r="AA270" s="274">
        <f>V270*(1+AA276)</f>
        <v>0</v>
      </c>
      <c r="AB270" s="274">
        <f>W270*(1+AB276)</f>
        <v>0</v>
      </c>
      <c r="AC270" s="274">
        <f>X270*(1+AC276)</f>
        <v>0</v>
      </c>
      <c r="AD270" s="275">
        <f>SUM(Z270:AC270)</f>
        <v>0</v>
      </c>
      <c r="AE270" s="275">
        <f>AD270*(1+AE276)</f>
        <v>0</v>
      </c>
      <c r="AF270" s="275">
        <f>AE270*(1+AF276)</f>
        <v>0</v>
      </c>
      <c r="AG270" s="275">
        <f>AF270*(1+AG276)</f>
        <v>0</v>
      </c>
      <c r="AH270" s="8"/>
      <c r="AI270" s="8"/>
      <c r="AJ270" s="8"/>
      <c r="AK270" s="8"/>
    </row>
    <row r="271" ht="13.5" customHeight="1" spans="1:37" x14ac:dyDescent="0.25">
      <c r="A271" s="257"/>
      <c r="B271" s="8"/>
      <c r="C271" s="130"/>
      <c r="D271" s="8"/>
      <c r="E271" s="8"/>
      <c r="F271" s="348"/>
      <c r="G271" s="348"/>
      <c r="H271" s="348"/>
      <c r="I271" s="348"/>
      <c r="J271" s="275"/>
      <c r="K271" s="348"/>
      <c r="L271" s="348"/>
      <c r="M271" s="348"/>
      <c r="N271" s="348"/>
      <c r="O271" s="275"/>
      <c r="P271" s="348"/>
      <c r="Q271" s="348"/>
      <c r="R271" s="348"/>
      <c r="S271" s="348"/>
      <c r="T271" s="275"/>
      <c r="U271" s="348"/>
      <c r="V271" s="348"/>
      <c r="W271" s="348"/>
      <c r="X271" s="358"/>
      <c r="Y271" s="153"/>
      <c r="Z271" s="358"/>
      <c r="AA271" s="358"/>
      <c r="AB271" s="358"/>
      <c r="AC271" s="358"/>
      <c r="AD271" s="153"/>
      <c r="AE271" s="8"/>
      <c r="AF271" s="8"/>
      <c r="AG271" s="8"/>
      <c r="AH271" s="8"/>
      <c r="AI271" s="8"/>
      <c r="AJ271" s="8"/>
      <c r="AK271" s="8"/>
    </row>
    <row r="272" ht="13.5" customHeight="1" spans="1:37" x14ac:dyDescent="0.25">
      <c r="A272" s="257"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16"/>
      <c r="AH272" s="257" t="s">
        <v>3</v>
      </c>
      <c r="AI272" s="8"/>
      <c r="AJ272" s="8"/>
      <c r="AK272" s="8"/>
    </row>
    <row r="273" ht="13.5" customHeight="1" spans="1:37" x14ac:dyDescent="0.25">
      <c r="A273" s="257"/>
      <c r="B273" s="8"/>
      <c r="C273" s="130"/>
      <c r="D273" s="8"/>
      <c r="E273" s="8"/>
      <c r="F273" s="348"/>
      <c r="G273" s="348"/>
      <c r="H273" s="348"/>
      <c r="I273" s="348"/>
      <c r="J273" s="275"/>
      <c r="K273" s="348"/>
      <c r="L273" s="348"/>
      <c r="M273" s="348"/>
      <c r="N273" s="348"/>
      <c r="O273" s="275"/>
      <c r="P273" s="348"/>
      <c r="Q273" s="348"/>
      <c r="R273" s="348"/>
      <c r="S273" s="348"/>
      <c r="T273" s="275"/>
      <c r="U273" s="348"/>
      <c r="V273" s="348"/>
      <c r="W273" s="348"/>
      <c r="X273" s="358"/>
      <c r="Y273" s="153"/>
      <c r="Z273" s="358"/>
      <c r="AA273" s="358"/>
      <c r="AB273" s="358"/>
      <c r="AC273" s="358"/>
      <c r="AD273" s="153"/>
      <c r="AE273" s="8"/>
      <c r="AF273" s="8"/>
      <c r="AG273" s="8"/>
      <c r="AH273" s="8"/>
      <c r="AI273" s="8"/>
      <c r="AJ273" s="8"/>
      <c r="AK273" s="8"/>
    </row>
    <row r="274" ht="13.5" customHeight="1" spans="1:37" x14ac:dyDescent="0.25">
      <c r="A274" s="257"/>
      <c r="B274" s="8"/>
      <c r="C274" s="130" t="s">
        <v>417</v>
      </c>
      <c r="D274" s="8"/>
      <c r="E274" s="8"/>
      <c r="F274" s="434">
        <v>0</v>
      </c>
      <c r="G274" s="434">
        <v>0</v>
      </c>
      <c r="H274" s="434">
        <v>0</v>
      </c>
      <c r="I274" s="434">
        <v>0</v>
      </c>
      <c r="J274" s="324">
        <f>SUM(F274:I274)</f>
        <v>0</v>
      </c>
      <c r="K274" s="434">
        <v>0</v>
      </c>
      <c r="L274" s="434">
        <v>0</v>
      </c>
      <c r="M274" s="434">
        <v>0</v>
      </c>
      <c r="N274" s="434">
        <v>0</v>
      </c>
      <c r="O274" s="324">
        <f>SUM(K274:N274)</f>
        <v>0</v>
      </c>
      <c r="P274" s="434">
        <v>0</v>
      </c>
      <c r="Q274" s="434">
        <v>0</v>
      </c>
      <c r="R274" s="434">
        <v>0</v>
      </c>
      <c r="S274" s="434">
        <v>0</v>
      </c>
      <c r="T274" s="324">
        <f>SUM(P274:S274)</f>
        <v>0</v>
      </c>
      <c r="U274" s="434">
        <v>0</v>
      </c>
      <c r="V274" s="434">
        <v>0</v>
      </c>
      <c r="W274" s="434">
        <v>0</v>
      </c>
      <c r="X274" s="476">
        <v>0</v>
      </c>
      <c r="Y274" s="324">
        <f>SUM(U274:X274)</f>
        <v>0</v>
      </c>
      <c r="Z274" s="476">
        <v>0</v>
      </c>
      <c r="AA274" s="476">
        <v>0</v>
      </c>
      <c r="AB274" s="476">
        <v>0</v>
      </c>
      <c r="AC274" s="476">
        <v>0</v>
      </c>
      <c r="AD274" s="476">
        <f>SUM(Z274:AC274)</f>
        <v>0</v>
      </c>
      <c r="AE274" s="476">
        <v>0</v>
      </c>
      <c r="AF274" s="476">
        <v>0</v>
      </c>
      <c r="AG274" s="476">
        <v>0</v>
      </c>
      <c r="AH274" s="8"/>
      <c r="AI274" s="8"/>
      <c r="AJ274" s="8"/>
      <c r="AK274" s="8"/>
    </row>
    <row r="275" ht="13.5" customHeight="1" spans="1:37" x14ac:dyDescent="0.25">
      <c r="A275" s="257"/>
      <c r="B275" s="8"/>
      <c r="C275" s="130" t="s">
        <v>418</v>
      </c>
      <c r="D275" s="8"/>
      <c r="E275" s="8"/>
      <c r="F275" s="401">
        <f>F244</f>
        <v>0</v>
      </c>
      <c r="G275" s="401">
        <f>G244</f>
        <v>0</v>
      </c>
      <c r="H275" s="401">
        <f>H244</f>
        <v>-190.4</v>
      </c>
      <c r="I275" s="401">
        <f>I244</f>
        <v>-71.6</v>
      </c>
      <c r="J275" s="153">
        <f>J244</f>
        <v>-262</v>
      </c>
      <c r="K275" s="401">
        <f t="shared" ref="K275:V275" si="85">K244</f>
        <v>0</v>
      </c>
      <c r="L275" s="401">
        <f t="shared" si="85"/>
        <v>-168</v>
      </c>
      <c r="M275" s="401">
        <f t="shared" si="85"/>
        <v>-153</v>
      </c>
      <c r="N275" s="401">
        <f t="shared" si="85"/>
        <v>-161</v>
      </c>
      <c r="O275" s="153">
        <f t="shared" si="85"/>
        <v>-482</v>
      </c>
      <c r="P275" s="401">
        <f t="shared" si="85"/>
        <v>-55</v>
      </c>
      <c r="Q275" s="401">
        <f t="shared" si="85"/>
        <v>-4</v>
      </c>
      <c r="R275" s="401">
        <f t="shared" si="85"/>
        <v>-540</v>
      </c>
      <c r="S275" s="401">
        <f t="shared" si="85"/>
        <v>-271</v>
      </c>
      <c r="T275" s="153">
        <f t="shared" si="85"/>
        <v>-870</v>
      </c>
      <c r="U275" s="401">
        <f t="shared" si="85"/>
        <v>0</v>
      </c>
      <c r="V275" s="401">
        <f t="shared" si="85"/>
        <v>0</v>
      </c>
      <c r="W275" s="401">
        <f>W244</f>
        <v>0</v>
      </c>
      <c r="X275" s="369">
        <f>Drivers!X165</f>
        <v>0</v>
      </c>
      <c r="Y275" s="153">
        <f>SUM(U275:X275)</f>
        <v>0</v>
      </c>
      <c r="Z275" s="369">
        <f>Drivers!Z165</f>
        <v>550</v>
      </c>
      <c r="AA275" s="369">
        <f>Drivers!AA165</f>
        <v>0</v>
      </c>
      <c r="AB275" s="369">
        <f>Drivers!AB165</f>
        <v>0</v>
      </c>
      <c r="AC275" s="369">
        <f>Drivers!AC165</f>
        <v>0</v>
      </c>
      <c r="AD275" s="153">
        <f>SUM(Z275:AC275)</f>
        <v>550</v>
      </c>
      <c r="AE275" s="370">
        <f>Drivers!AE165</f>
        <v>600</v>
      </c>
      <c r="AF275" s="370">
        <f>Drivers!AF165</f>
        <v>650</v>
      </c>
      <c r="AG275" s="370">
        <f>Drivers!AG165</f>
        <v>700</v>
      </c>
      <c r="AH275" s="8"/>
      <c r="AI275" s="8"/>
      <c r="AJ275" s="8"/>
      <c r="AK275" s="8"/>
    </row>
    <row r="276" ht="13.5" customHeight="1" spans="1:37" x14ac:dyDescent="0.25">
      <c r="A276" s="257"/>
      <c r="B276" s="8"/>
      <c r="C276" s="130" t="s">
        <v>419</v>
      </c>
      <c r="D276" s="8"/>
      <c r="E276" s="8"/>
      <c r="F276" s="417" t="e">
        <f>F270/A270-1</f>
        <v>#DIV/0!</v>
      </c>
      <c r="G276" s="417" t="e">
        <f>G270/B270-1</f>
        <v>#DIV/0!</v>
      </c>
      <c r="H276" s="417" t="e">
        <f>H270/C270-1</f>
        <v>#VALUE!</v>
      </c>
      <c r="I276" s="417" t="e">
        <f>I270/D270-1</f>
        <v>#DIV/0!</v>
      </c>
      <c r="J276" s="418">
        <v>0</v>
      </c>
      <c r="K276" s="417">
        <f t="shared" ref="K276:W276" si="86">K270/F270-1</f>
        <v>0.07416879795396425</v>
      </c>
      <c r="L276" s="417">
        <f t="shared" si="86"/>
        <v>0.07918263090676891</v>
      </c>
      <c r="M276" s="417">
        <f t="shared" si="86"/>
        <v>0.07348242811501593</v>
      </c>
      <c r="N276" s="417">
        <f t="shared" si="86"/>
        <v>0.0801186943620178</v>
      </c>
      <c r="O276" s="418">
        <v>0</v>
      </c>
      <c r="P276" s="417">
        <f t="shared" si="86"/>
        <v>0.07738095238095233</v>
      </c>
      <c r="Q276" s="417">
        <f t="shared" si="86"/>
        <v>0.07100591715976323</v>
      </c>
      <c r="R276" s="417">
        <f t="shared" si="86"/>
        <v>0.08333333333333326</v>
      </c>
      <c r="S276" s="417">
        <f t="shared" si="86"/>
        <v>0.06593406593406592</v>
      </c>
      <c r="T276" s="418">
        <v>0</v>
      </c>
      <c r="U276" s="417" t="e">
        <f t="shared" si="86"/>
        <v>#DIV/0!</v>
      </c>
      <c r="V276" s="417" t="e">
        <f t="shared" si="86"/>
        <v>#DIV/0!</v>
      </c>
      <c r="W276" s="417" t="e">
        <f t="shared" si="86"/>
        <v>#DIV/0!</v>
      </c>
      <c r="X276" s="448">
        <f>Drivers!X101</f>
        <v>0</v>
      </c>
      <c r="Y276" s="418" t="e">
        <f>Y270/T270-1</f>
        <v>#DIV/0!</v>
      </c>
      <c r="Z276" s="448">
        <f>Drivers!Z101</f>
        <v>0.1</v>
      </c>
      <c r="AA276" s="448">
        <f>Drivers!AA101</f>
        <v>0.1</v>
      </c>
      <c r="AB276" s="448">
        <f>Drivers!AB101</f>
        <v>0.1</v>
      </c>
      <c r="AC276" s="448">
        <f>Drivers!AC101</f>
        <v>0.1</v>
      </c>
      <c r="AD276" s="418" t="e">
        <f>AD270/Y270-1</f>
        <v>#DIV/0!</v>
      </c>
      <c r="AE276" s="449">
        <f>Drivers!AE101</f>
        <v>0.1</v>
      </c>
      <c r="AF276" s="449">
        <f>Drivers!AF101</f>
        <v>0.1</v>
      </c>
      <c r="AG276" s="449">
        <f>Drivers!AG101</f>
        <v>0.1</v>
      </c>
      <c r="AH276" s="8"/>
      <c r="AI276" s="8"/>
      <c r="AJ276" s="8"/>
      <c r="AK276" s="8"/>
    </row>
    <row r="277" ht="13.5" customHeight="1" spans="1:37" x14ac:dyDescent="0.25">
      <c r="A277" s="257"/>
      <c r="B277" s="8"/>
      <c r="C277" s="8"/>
      <c r="D277" s="8"/>
      <c r="E277" s="8"/>
      <c r="F277" s="308"/>
      <c r="G277" s="308"/>
      <c r="H277" s="308"/>
      <c r="I277" s="308"/>
      <c r="J277" s="8"/>
      <c r="K277" s="308"/>
      <c r="L277" s="308"/>
      <c r="M277" s="308"/>
      <c r="N277" s="308"/>
      <c r="O277" s="8"/>
      <c r="P277" s="308"/>
      <c r="Q277" s="308"/>
      <c r="R277" s="308"/>
      <c r="S277" s="308"/>
      <c r="T277" s="8"/>
      <c r="U277" s="308"/>
      <c r="V277" s="308"/>
      <c r="W277" s="308"/>
      <c r="X277" s="309"/>
      <c r="Y277" s="8"/>
      <c r="Z277" s="309"/>
      <c r="AA277" s="309"/>
      <c r="AB277" s="309"/>
      <c r="AC277" s="309"/>
      <c r="AD277" s="8"/>
      <c r="AE277" s="8"/>
      <c r="AF277" s="8"/>
      <c r="AG277" s="8"/>
      <c r="AH277" s="8"/>
      <c r="AI277" s="8"/>
      <c r="AJ277" s="8"/>
      <c r="AK277" s="8"/>
    </row>
    <row r="278" ht="13.5" customHeight="1" spans="1:37" x14ac:dyDescent="0.25">
      <c r="A278" s="257" t="s">
        <v>3</v>
      </c>
      <c r="B278" s="40"/>
      <c r="C278" s="53" t="s">
        <v>420</v>
      </c>
      <c r="D278" s="11"/>
      <c r="E278" s="11"/>
      <c r="F278" s="54">
        <f t="shared" ref="F278:AG278" si="87">F$65</f>
        <v>0</v>
      </c>
      <c r="G278" s="54">
        <f t="shared" si="87"/>
        <v>0</v>
      </c>
      <c r="H278" s="54">
        <f t="shared" si="87"/>
        <v>0</v>
      </c>
      <c r="I278" s="54">
        <f t="shared" si="87"/>
        <v>0</v>
      </c>
      <c r="J278" s="54">
        <f t="shared" si="87"/>
        <v>2023</v>
      </c>
      <c r="K278" s="54">
        <f t="shared" si="87"/>
        <v>0</v>
      </c>
      <c r="L278" s="54">
        <f t="shared" si="87"/>
        <v>0</v>
      </c>
      <c r="M278" s="54">
        <f t="shared" si="87"/>
        <v>0</v>
      </c>
      <c r="N278" s="54">
        <f t="shared" si="87"/>
        <v>0</v>
      </c>
      <c r="O278" s="54">
        <f t="shared" si="87"/>
        <v>2024</v>
      </c>
      <c r="P278" s="54">
        <f t="shared" si="87"/>
        <v>0</v>
      </c>
      <c r="Q278" s="54">
        <f t="shared" si="87"/>
        <v>0</v>
      </c>
      <c r="R278" s="54">
        <f t="shared" si="87"/>
        <v>0</v>
      </c>
      <c r="S278" s="54">
        <f t="shared" si="87"/>
        <v>0</v>
      </c>
      <c r="T278" s="54">
        <f t="shared" si="87"/>
        <v>2025</v>
      </c>
      <c r="U278" s="54" t="str">
        <f t="shared" si="87"/>
        <v>1Q26e</v>
      </c>
      <c r="V278" s="54" t="str">
        <f t="shared" si="87"/>
        <v>2Q26e</v>
      </c>
      <c r="W278" s="54" t="str">
        <f t="shared" si="87"/>
        <v>3Q26</v>
      </c>
      <c r="X278" s="54" t="str">
        <f t="shared" si="87"/>
        <v>4Q26e</v>
      </c>
      <c r="Y278" s="54" t="str">
        <f t="shared" si="87"/>
        <v>2026e</v>
      </c>
      <c r="Z278" s="54" t="str">
        <f t="shared" si="87"/>
        <v>1Q27e</v>
      </c>
      <c r="AA278" s="54" t="str">
        <f t="shared" si="87"/>
        <v>2Q27e</v>
      </c>
      <c r="AB278" s="54" t="str">
        <f t="shared" si="87"/>
        <v>3Q27e</v>
      </c>
      <c r="AC278" s="54" t="str">
        <f t="shared" si="87"/>
        <v>4Q27e</v>
      </c>
      <c r="AD278" s="54" t="str">
        <f t="shared" si="87"/>
        <v>2027e</v>
      </c>
      <c r="AE278" s="54" t="str">
        <f t="shared" si="87"/>
        <v>2028e</v>
      </c>
      <c r="AF278" s="54" t="str">
        <f t="shared" si="87"/>
        <v>2029e</v>
      </c>
      <c r="AG278" s="55" t="str">
        <f t="shared" si="87"/>
        <v>2030e</v>
      </c>
      <c r="AH278" s="257" t="s">
        <v>3</v>
      </c>
      <c r="AI278" s="8"/>
      <c r="AJ278" s="8"/>
      <c r="AK278" s="8"/>
    </row>
    <row r="279" ht="13.5" customHeight="1" spans="1:37" x14ac:dyDescent="0.25">
      <c r="A279" s="257"/>
      <c r="B279" s="8"/>
      <c r="C279" s="8"/>
      <c r="D279" s="8"/>
      <c r="E279" s="8"/>
      <c r="F279" s="308"/>
      <c r="G279" s="308"/>
      <c r="H279" s="308"/>
      <c r="I279" s="308"/>
      <c r="J279" s="8"/>
      <c r="K279" s="308"/>
      <c r="L279" s="308"/>
      <c r="M279" s="308"/>
      <c r="N279" s="308"/>
      <c r="O279" s="8"/>
      <c r="P279" s="308"/>
      <c r="Q279" s="308"/>
      <c r="R279" s="308"/>
      <c r="S279" s="308"/>
      <c r="T279" s="8"/>
      <c r="U279" s="308"/>
      <c r="V279" s="308"/>
      <c r="W279" s="308"/>
      <c r="X279" s="309"/>
      <c r="Y279" s="8"/>
      <c r="Z279" s="309"/>
      <c r="AA279" s="309"/>
      <c r="AB279" s="309"/>
      <c r="AC279" s="309"/>
      <c r="AD279" s="8"/>
      <c r="AE279" s="8"/>
      <c r="AF279" s="8"/>
      <c r="AG279" s="8"/>
      <c r="AH279" s="8"/>
      <c r="AI279" s="8"/>
      <c r="AJ279" s="8"/>
      <c r="AK279" s="8"/>
    </row>
    <row r="280" ht="13.5" customHeight="1" spans="1:37" x14ac:dyDescent="0.25">
      <c r="A280" s="257"/>
      <c r="B280" s="8"/>
      <c r="C280" s="8" t="s">
        <v>421</v>
      </c>
      <c r="D280" s="8"/>
      <c r="E280" s="8"/>
      <c r="F280" s="354">
        <f>D283</f>
        <v>0</v>
      </c>
      <c r="G280" s="354">
        <f>F283</f>
        <v>0</v>
      </c>
      <c r="H280" s="354">
        <f>G283</f>
        <v>0</v>
      </c>
      <c r="I280" s="354">
        <f>H283</f>
        <v>0</v>
      </c>
      <c r="J280" s="8"/>
      <c r="K280" s="354">
        <f>I283</f>
        <v>0</v>
      </c>
      <c r="L280" s="354">
        <f>K283</f>
        <v>0</v>
      </c>
      <c r="M280" s="354">
        <f>L283</f>
        <v>0</v>
      </c>
      <c r="N280" s="354">
        <f>M283</f>
        <v>0</v>
      </c>
      <c r="O280" s="8"/>
      <c r="P280" s="354">
        <f>N283</f>
        <v>0</v>
      </c>
      <c r="Q280" s="354">
        <f>P283</f>
        <v>0</v>
      </c>
      <c r="R280" s="354">
        <f>Q283</f>
        <v>0</v>
      </c>
      <c r="S280" s="354">
        <f>R283</f>
        <v>0</v>
      </c>
      <c r="T280" s="8"/>
      <c r="U280" s="354">
        <f>S283</f>
        <v>0</v>
      </c>
      <c r="V280" s="354">
        <f>U283</f>
        <v>0</v>
      </c>
      <c r="W280" s="354">
        <f>V283</f>
        <v>0</v>
      </c>
      <c r="X280" s="367">
        <f>W283</f>
        <v>0</v>
      </c>
      <c r="Y280" s="8"/>
      <c r="Z280" s="367">
        <f>Y283</f>
        <v>0</v>
      </c>
      <c r="AA280" s="367">
        <f>Z283</f>
        <v>-2.972972972972973</v>
      </c>
      <c r="AB280" s="367">
        <f>AA283</f>
        <v>-2.972972972972973</v>
      </c>
      <c r="AC280" s="367">
        <f>AB283</f>
        <v>-2.972972972972973</v>
      </c>
      <c r="AD280" s="153">
        <f>Y283</f>
        <v>0</v>
      </c>
      <c r="AE280" s="477">
        <f>AD283</f>
        <v>-2.972972972972973</v>
      </c>
      <c r="AF280" s="477">
        <f>AE283</f>
        <v>-5.7002457002457</v>
      </c>
      <c r="AG280" s="477">
        <f>AF283</f>
        <v>-8.654791154791155</v>
      </c>
      <c r="AH280" s="8"/>
      <c r="AI280" s="8"/>
      <c r="AJ280" s="8"/>
      <c r="AK280" s="8"/>
    </row>
    <row r="281" ht="13.5" customHeight="1" spans="1:37" x14ac:dyDescent="0.25">
      <c r="A281" s="257"/>
      <c r="B281" s="8"/>
      <c r="C281" s="130" t="s">
        <v>422</v>
      </c>
      <c r="D281" s="8"/>
      <c r="E281" s="8"/>
      <c r="F281" s="478"/>
      <c r="G281" s="478"/>
      <c r="H281" s="478"/>
      <c r="I281" s="478"/>
      <c r="J281" s="479"/>
      <c r="K281" s="478"/>
      <c r="L281" s="478"/>
      <c r="M281" s="478"/>
      <c r="N281" s="478"/>
      <c r="O281" s="479"/>
      <c r="P281" s="478"/>
      <c r="Q281" s="478"/>
      <c r="R281" s="478"/>
      <c r="S281" s="478"/>
      <c r="T281" s="479"/>
      <c r="U281" s="478"/>
      <c r="V281" s="478"/>
      <c r="W281" s="478"/>
      <c r="X281" s="367">
        <f>X274</f>
        <v>0</v>
      </c>
      <c r="Y281" s="477">
        <f>SUM(U281:X281)</f>
        <v>0</v>
      </c>
      <c r="Z281" s="367">
        <f>Z274</f>
        <v>0</v>
      </c>
      <c r="AA281" s="367">
        <f>AA274</f>
        <v>0</v>
      </c>
      <c r="AB281" s="367">
        <f>AB274</f>
        <v>0</v>
      </c>
      <c r="AC281" s="367">
        <f>AC274</f>
        <v>0</v>
      </c>
      <c r="AD281" s="477">
        <f>SUM(Z281:AC281)</f>
        <v>0</v>
      </c>
      <c r="AE281" s="477">
        <f>AE274</f>
        <v>0</v>
      </c>
      <c r="AF281" s="477">
        <f>AF274</f>
        <v>0</v>
      </c>
      <c r="AG281" s="477">
        <f>AG274</f>
        <v>0</v>
      </c>
      <c r="AH281" s="8"/>
      <c r="AI281" s="8"/>
      <c r="AJ281" s="8"/>
      <c r="AK281" s="8"/>
    </row>
    <row r="282" ht="13.5" customHeight="1" spans="1:37" x14ac:dyDescent="0.25">
      <c r="A282" s="257"/>
      <c r="B282" s="8"/>
      <c r="C282" s="130" t="s">
        <v>423</v>
      </c>
      <c r="D282" s="8"/>
      <c r="E282" s="8"/>
      <c r="F282" s="480">
        <v>0</v>
      </c>
      <c r="G282" s="480">
        <f>-G243</f>
        <v>0</v>
      </c>
      <c r="H282" s="480">
        <f>-H243</f>
        <v>0</v>
      </c>
      <c r="I282" s="480">
        <f>-I243</f>
        <v>0</v>
      </c>
      <c r="J282" s="481"/>
      <c r="K282" s="480">
        <v>0</v>
      </c>
      <c r="L282" s="480">
        <f>-L243</f>
        <v>0</v>
      </c>
      <c r="M282" s="480">
        <f>-M243</f>
        <v>0</v>
      </c>
      <c r="N282" s="480">
        <f>-N243</f>
        <v>0</v>
      </c>
      <c r="O282" s="481"/>
      <c r="P282" s="480">
        <f>-P243</f>
        <v>0</v>
      </c>
      <c r="Q282" s="480">
        <f>-Q243</f>
        <v>0</v>
      </c>
      <c r="R282" s="480">
        <f>-R243</f>
        <v>0</v>
      </c>
      <c r="S282" s="480">
        <v>-0.8</v>
      </c>
      <c r="T282" s="481"/>
      <c r="U282" s="480">
        <f>-U243</f>
        <v>0</v>
      </c>
      <c r="V282" s="480">
        <f>-V243</f>
        <v>0</v>
      </c>
      <c r="W282" s="480">
        <f>-W243</f>
        <v>0</v>
      </c>
      <c r="X282" s="482">
        <f>-X243</f>
        <v>0</v>
      </c>
      <c r="Y282" s="483">
        <f>SUM(U282:X282)</f>
        <v>0</v>
      </c>
      <c r="Z282" s="482">
        <f>-Z243</f>
        <v>-2.972972972972973</v>
      </c>
      <c r="AA282" s="482">
        <f>-AA243</f>
        <v>0</v>
      </c>
      <c r="AB282" s="482">
        <f>-AB243</f>
        <v>0</v>
      </c>
      <c r="AC282" s="482">
        <f>-AC243</f>
        <v>0</v>
      </c>
      <c r="AD282" s="483">
        <f>SUM(Z282:AC282)</f>
        <v>-2.972972972972973</v>
      </c>
      <c r="AE282" s="483">
        <f>-AE243</f>
        <v>-2.727272727272727</v>
      </c>
      <c r="AF282" s="483">
        <f>-AF243</f>
        <v>-2.954545454545454</v>
      </c>
      <c r="AG282" s="483">
        <f>-AG243</f>
        <v>-2.8925619834710736</v>
      </c>
      <c r="AH282" s="8"/>
      <c r="AI282" s="8"/>
      <c r="AJ282" s="8"/>
      <c r="AK282" s="8"/>
    </row>
    <row r="283" ht="13.5" customHeight="1" spans="1:37" x14ac:dyDescent="0.25">
      <c r="A283" s="257"/>
      <c r="B283" s="8"/>
      <c r="C283" s="442" t="s">
        <v>424</v>
      </c>
      <c r="D283" s="8"/>
      <c r="E283" s="8"/>
      <c r="F283" s="356"/>
      <c r="G283" s="356"/>
      <c r="H283" s="356"/>
      <c r="I283" s="356"/>
      <c r="J283" s="360">
        <f>I283</f>
        <v>0</v>
      </c>
      <c r="K283" s="356"/>
      <c r="L283" s="356"/>
      <c r="M283" s="356"/>
      <c r="N283" s="356"/>
      <c r="O283" s="360">
        <f>N283</f>
        <v>0</v>
      </c>
      <c r="P283" s="356"/>
      <c r="Q283" s="356"/>
      <c r="R283" s="356"/>
      <c r="S283" s="356"/>
      <c r="T283" s="360">
        <f>S283</f>
        <v>0</v>
      </c>
      <c r="U283" s="356"/>
      <c r="V283" s="356"/>
      <c r="W283" s="356"/>
      <c r="X283" s="358">
        <f>SUM(X280:X282)</f>
        <v>0</v>
      </c>
      <c r="Y283" s="153">
        <f>X283</f>
        <v>0</v>
      </c>
      <c r="Z283" s="358">
        <f t="shared" ref="Z283:AG283" si="88">SUM(Z280:Z282)</f>
        <v>-2.972972972972973</v>
      </c>
      <c r="AA283" s="358">
        <f t="shared" si="88"/>
        <v>-2.972972972972973</v>
      </c>
      <c r="AB283" s="358">
        <f t="shared" si="88"/>
        <v>-2.972972972972973</v>
      </c>
      <c r="AC283" s="358">
        <f t="shared" si="88"/>
        <v>-2.972972972972973</v>
      </c>
      <c r="AD283" s="153">
        <f t="shared" si="88"/>
        <v>-2.972972972972973</v>
      </c>
      <c r="AE283" s="153">
        <f t="shared" si="88"/>
        <v>-5.7002457002457</v>
      </c>
      <c r="AF283" s="153">
        <f t="shared" si="88"/>
        <v>-8.654791154791155</v>
      </c>
      <c r="AG283" s="153">
        <f t="shared" si="88"/>
        <v>-11.54735313826223</v>
      </c>
      <c r="AH283" s="8"/>
      <c r="AI283" s="8"/>
      <c r="AJ283" s="8"/>
      <c r="AK283" s="8"/>
    </row>
    <row r="284" ht="13.5" customHeight="1" spans="1:37" x14ac:dyDescent="0.25">
      <c r="A284" s="257"/>
      <c r="B284" s="8"/>
      <c r="C284" s="8"/>
      <c r="D284" s="8"/>
      <c r="E284" s="8"/>
      <c r="F284" s="401"/>
      <c r="G284" s="401"/>
      <c r="H284" s="401"/>
      <c r="I284" s="401"/>
      <c r="J284" s="153"/>
      <c r="K284" s="401"/>
      <c r="L284" s="401"/>
      <c r="M284" s="401"/>
      <c r="N284" s="401"/>
      <c r="O284" s="153"/>
      <c r="P284" s="401"/>
      <c r="Q284" s="401"/>
      <c r="R284" s="401"/>
      <c r="S284" s="401"/>
      <c r="T284" s="153"/>
      <c r="U284" s="401"/>
      <c r="V284" s="401"/>
      <c r="W284" s="401"/>
      <c r="X284" s="358"/>
      <c r="Y284" s="153"/>
      <c r="Z284" s="358"/>
      <c r="AA284" s="358"/>
      <c r="AB284" s="358"/>
      <c r="AC284" s="358"/>
      <c r="AD284" s="153"/>
      <c r="AE284" s="8"/>
      <c r="AF284" s="8"/>
      <c r="AG284" s="8"/>
      <c r="AH284" s="8"/>
      <c r="AI284" s="8"/>
      <c r="AJ284" s="8"/>
      <c r="AK284" s="8"/>
    </row>
    <row r="285" ht="13.5" customHeight="1" spans="1:37" x14ac:dyDescent="0.25">
      <c r="A285" s="257"/>
      <c r="B285" s="8"/>
      <c r="C285" s="8" t="s">
        <v>425</v>
      </c>
      <c r="D285" s="8"/>
      <c r="E285" s="8"/>
      <c r="F285" s="356"/>
      <c r="G285" s="356"/>
      <c r="H285" s="356"/>
      <c r="I285" s="356"/>
      <c r="J285" s="360" t="e">
        <f>AVERAGE(F285:I285)</f>
        <v>#DIV/0!</v>
      </c>
      <c r="K285" s="356"/>
      <c r="L285" s="356"/>
      <c r="M285" s="356"/>
      <c r="N285" s="356"/>
      <c r="O285" s="360" t="e">
        <f>AVERAGE(K285:N285)</f>
        <v>#DIV/0!</v>
      </c>
      <c r="P285" s="356"/>
      <c r="Q285" s="356"/>
      <c r="R285" s="356"/>
      <c r="S285" s="356"/>
      <c r="T285" s="360" t="e">
        <f>AVERAGE(P285:S285)</f>
        <v>#DIV/0!</v>
      </c>
      <c r="U285" s="356"/>
      <c r="V285" s="356"/>
      <c r="W285" s="356"/>
      <c r="X285" s="358">
        <f>AVERAGE(X283,X280)</f>
        <v>0</v>
      </c>
      <c r="Y285" s="153">
        <f>AVERAGE(U285:X285)</f>
        <v>0</v>
      </c>
      <c r="Z285" s="358">
        <f>AVERAGE(Z283,Z280)</f>
        <v>-1.4864864864864864</v>
      </c>
      <c r="AA285" s="358">
        <f>AVERAGE(AA283,AA280)</f>
        <v>-2.972972972972973</v>
      </c>
      <c r="AB285" s="358">
        <f>AVERAGE(AB283,AB280)</f>
        <v>-2.972972972972973</v>
      </c>
      <c r="AC285" s="358">
        <f>AVERAGE(AC283,AC280)</f>
        <v>-2.972972972972973</v>
      </c>
      <c r="AD285" s="153">
        <f>AVERAGE(Z285:AC285)</f>
        <v>-2.6013513513513513</v>
      </c>
      <c r="AE285" s="153">
        <f>AVERAGE(AE283,AE280)</f>
        <v>-4.336609336609337</v>
      </c>
      <c r="AF285" s="153">
        <f>AVERAGE(AF283,AF280)</f>
        <v>-7.177518427518428</v>
      </c>
      <c r="AG285" s="153">
        <f>AVERAGE(AG283,AG280)</f>
        <v>-10.101072146526693</v>
      </c>
      <c r="AH285" s="8"/>
      <c r="AI285" s="8"/>
      <c r="AJ285" s="8"/>
      <c r="AK285" s="8"/>
    </row>
    <row r="286" ht="13.5" customHeight="1" spans="1:37" x14ac:dyDescent="0.25">
      <c r="A286" s="257"/>
      <c r="B286" s="8"/>
      <c r="C286" s="130" t="s">
        <v>426</v>
      </c>
      <c r="D286" s="8"/>
      <c r="E286" s="8"/>
      <c r="F286" s="385">
        <f>F287-F285</f>
        <v>0</v>
      </c>
      <c r="G286" s="385">
        <f>G287-G285</f>
        <v>0</v>
      </c>
      <c r="H286" s="385">
        <f>H287-H285</f>
        <v>0</v>
      </c>
      <c r="I286" s="385">
        <f>I287-I285</f>
        <v>0</v>
      </c>
      <c r="J286" s="351">
        <f>J287-J285</f>
        <v>0</v>
      </c>
      <c r="K286" s="385">
        <f t="shared" ref="K286:W286" si="89">K287-K285</f>
        <v>0</v>
      </c>
      <c r="L286" s="385">
        <f t="shared" si="89"/>
        <v>0</v>
      </c>
      <c r="M286" s="385">
        <f t="shared" si="89"/>
        <v>0</v>
      </c>
      <c r="N286" s="385">
        <f t="shared" si="89"/>
        <v>0</v>
      </c>
      <c r="O286" s="351">
        <f t="shared" si="89"/>
        <v>0</v>
      </c>
      <c r="P286" s="385">
        <f t="shared" si="89"/>
        <v>0</v>
      </c>
      <c r="Q286" s="385">
        <f t="shared" si="89"/>
        <v>0</v>
      </c>
      <c r="R286" s="385">
        <f t="shared" si="89"/>
        <v>0</v>
      </c>
      <c r="S286" s="385">
        <f t="shared" si="89"/>
        <v>0</v>
      </c>
      <c r="T286" s="351">
        <f t="shared" si="89"/>
        <v>0</v>
      </c>
      <c r="U286" s="385">
        <f t="shared" si="89"/>
        <v>0</v>
      </c>
      <c r="V286" s="385">
        <f t="shared" si="89"/>
        <v>0</v>
      </c>
      <c r="W286" s="385">
        <f t="shared" si="89"/>
        <v>0</v>
      </c>
      <c r="X286" s="379">
        <f>W286</f>
        <v>0</v>
      </c>
      <c r="Y286" s="351">
        <v>10</v>
      </c>
      <c r="Z286" s="379">
        <f>X286</f>
        <v>0</v>
      </c>
      <c r="AA286" s="379">
        <f>Z286</f>
        <v>0</v>
      </c>
      <c r="AB286" s="379">
        <f>AA286</f>
        <v>0</v>
      </c>
      <c r="AC286" s="379">
        <f>AB286</f>
        <v>0</v>
      </c>
      <c r="AD286" s="351">
        <f>AD287-AD285</f>
        <v>0</v>
      </c>
      <c r="AE286" s="380">
        <f>AC286</f>
        <v>0</v>
      </c>
      <c r="AF286" s="380">
        <f>AE286</f>
        <v>0</v>
      </c>
      <c r="AG286" s="380">
        <f>AF286</f>
        <v>0</v>
      </c>
      <c r="AH286" s="8"/>
      <c r="AI286" s="8"/>
      <c r="AJ286" s="8"/>
      <c r="AK286" s="8"/>
    </row>
    <row r="287" ht="13.5" customHeight="1" spans="1:37" x14ac:dyDescent="0.25">
      <c r="A287" s="257"/>
      <c r="B287" s="8"/>
      <c r="C287" s="8" t="s">
        <v>427</v>
      </c>
      <c r="D287" s="8"/>
      <c r="E287" s="8"/>
      <c r="F287" s="356"/>
      <c r="G287" s="356"/>
      <c r="H287" s="356"/>
      <c r="I287" s="356"/>
      <c r="J287" s="360" t="e">
        <f>AVERAGE(F287:I287)</f>
        <v>#DIV/0!</v>
      </c>
      <c r="K287" s="356"/>
      <c r="L287" s="356"/>
      <c r="M287" s="356"/>
      <c r="N287" s="356"/>
      <c r="O287" s="360" t="e">
        <f>AVERAGE(K287:N287)</f>
        <v>#DIV/0!</v>
      </c>
      <c r="P287" s="356"/>
      <c r="Q287" s="356"/>
      <c r="R287" s="356"/>
      <c r="S287" s="356"/>
      <c r="T287" s="360" t="e">
        <f>AVERAGE(P287:S287)</f>
        <v>#DIV/0!</v>
      </c>
      <c r="U287" s="356"/>
      <c r="V287" s="356"/>
      <c r="W287" s="356"/>
      <c r="X287" s="358">
        <f>SUM(X285:X286)</f>
        <v>0</v>
      </c>
      <c r="Y287" s="153">
        <f>AVERAGE(U287:X287)</f>
        <v>0</v>
      </c>
      <c r="Z287" s="358">
        <f>SUM(Z285:Z286)</f>
        <v>-1.4864864864864864</v>
      </c>
      <c r="AA287" s="358">
        <f>SUM(AA285:AA286)</f>
        <v>-2.972972972972973</v>
      </c>
      <c r="AB287" s="358">
        <f>SUM(AB285:AB286)</f>
        <v>-2.972972972972973</v>
      </c>
      <c r="AC287" s="358">
        <f>SUM(AC285:AC286)</f>
        <v>-2.972972972972973</v>
      </c>
      <c r="AD287" s="153">
        <f>AVERAGE(Z287:AC287)</f>
        <v>-2.6013513513513513</v>
      </c>
      <c r="AE287" s="153">
        <f>SUM(AE285:AE286)</f>
        <v>-4.336609336609337</v>
      </c>
      <c r="AF287" s="153">
        <f>SUM(AF285:AF286)</f>
        <v>-7.177518427518428</v>
      </c>
      <c r="AG287" s="153">
        <f>SUM(AG285:AG286)</f>
        <v>-10.101072146526693</v>
      </c>
      <c r="AH287" s="8"/>
      <c r="AI287" s="8"/>
      <c r="AJ287" s="8"/>
      <c r="AK287" s="8"/>
    </row>
    <row r="288" ht="13.5" customHeight="1" spans="1:37" x14ac:dyDescent="0.25">
      <c r="A288" s="257"/>
      <c r="B288" s="8"/>
      <c r="C288" s="8"/>
      <c r="D288" s="8"/>
      <c r="E288" s="8"/>
      <c r="F288" s="308"/>
      <c r="G288" s="308"/>
      <c r="H288" s="308"/>
      <c r="I288" s="308"/>
      <c r="J288" s="8"/>
      <c r="K288" s="308"/>
      <c r="L288" s="308"/>
      <c r="M288" s="308"/>
      <c r="N288" s="308"/>
      <c r="O288" s="8"/>
      <c r="P288" s="308"/>
      <c r="Q288" s="308"/>
      <c r="R288" s="308"/>
      <c r="S288" s="308"/>
      <c r="T288" s="8"/>
      <c r="U288" s="308"/>
      <c r="V288" s="308"/>
      <c r="W288" s="308"/>
      <c r="X288" s="309"/>
      <c r="Y288" s="8"/>
      <c r="Z288" s="309"/>
      <c r="AA288" s="309"/>
      <c r="AB288" s="309"/>
      <c r="AC288" s="309"/>
      <c r="AD288" s="8"/>
      <c r="AE288" s="8"/>
      <c r="AF288" s="8"/>
      <c r="AG288" s="8"/>
      <c r="AH288" s="8"/>
      <c r="AI288" s="8"/>
      <c r="AJ288" s="8"/>
      <c r="AK288" s="8"/>
    </row>
    <row r="289" ht="13.5" customHeight="1" spans="1:37" x14ac:dyDescent="0.25">
      <c r="A289" s="257" t="s">
        <v>3</v>
      </c>
      <c r="B289" s="40"/>
      <c r="C289" s="53" t="s">
        <v>428</v>
      </c>
      <c r="D289" s="11"/>
      <c r="E289" s="11"/>
      <c r="F289" s="54">
        <f t="shared" ref="F289:AG289" si="90">F$65</f>
        <v>0</v>
      </c>
      <c r="G289" s="54">
        <f t="shared" si="90"/>
        <v>0</v>
      </c>
      <c r="H289" s="54">
        <f t="shared" si="90"/>
        <v>0</v>
      </c>
      <c r="I289" s="54">
        <f t="shared" si="90"/>
        <v>0</v>
      </c>
      <c r="J289" s="54">
        <f t="shared" si="90"/>
        <v>2023</v>
      </c>
      <c r="K289" s="54">
        <f t="shared" si="90"/>
        <v>0</v>
      </c>
      <c r="L289" s="54">
        <f t="shared" si="90"/>
        <v>0</v>
      </c>
      <c r="M289" s="54">
        <f t="shared" si="90"/>
        <v>0</v>
      </c>
      <c r="N289" s="54">
        <f t="shared" si="90"/>
        <v>0</v>
      </c>
      <c r="O289" s="54">
        <f t="shared" si="90"/>
        <v>2024</v>
      </c>
      <c r="P289" s="54">
        <f t="shared" si="90"/>
        <v>0</v>
      </c>
      <c r="Q289" s="54">
        <f t="shared" si="90"/>
        <v>0</v>
      </c>
      <c r="R289" s="54">
        <f t="shared" si="90"/>
        <v>0</v>
      </c>
      <c r="S289" s="54">
        <f t="shared" si="90"/>
        <v>0</v>
      </c>
      <c r="T289" s="54">
        <f t="shared" si="90"/>
        <v>2025</v>
      </c>
      <c r="U289" s="54" t="str">
        <f t="shared" si="90"/>
        <v>1Q26e</v>
      </c>
      <c r="V289" s="54" t="str">
        <f t="shared" si="90"/>
        <v>2Q26e</v>
      </c>
      <c r="W289" s="54" t="str">
        <f t="shared" si="90"/>
        <v>3Q26</v>
      </c>
      <c r="X289" s="54" t="str">
        <f t="shared" si="90"/>
        <v>4Q26e</v>
      </c>
      <c r="Y289" s="54" t="str">
        <f t="shared" si="90"/>
        <v>2026e</v>
      </c>
      <c r="Z289" s="54" t="str">
        <f t="shared" si="90"/>
        <v>1Q27e</v>
      </c>
      <c r="AA289" s="54" t="str">
        <f t="shared" si="90"/>
        <v>2Q27e</v>
      </c>
      <c r="AB289" s="54" t="str">
        <f t="shared" si="90"/>
        <v>3Q27e</v>
      </c>
      <c r="AC289" s="54" t="str">
        <f t="shared" si="90"/>
        <v>4Q27e</v>
      </c>
      <c r="AD289" s="54" t="str">
        <f t="shared" si="90"/>
        <v>2027e</v>
      </c>
      <c r="AE289" s="54" t="str">
        <f t="shared" si="90"/>
        <v>2028e</v>
      </c>
      <c r="AF289" s="54" t="str">
        <f t="shared" si="90"/>
        <v>2029e</v>
      </c>
      <c r="AG289" s="55" t="str">
        <f t="shared" si="90"/>
        <v>2030e</v>
      </c>
      <c r="AH289" s="257" t="s">
        <v>3</v>
      </c>
      <c r="AI289" s="8"/>
      <c r="AJ289" s="8"/>
      <c r="AK289" s="8"/>
    </row>
    <row r="290" ht="13.5" customHeight="1" spans="1:37" x14ac:dyDescent="0.25">
      <c r="A290" s="257"/>
      <c r="B290" s="8"/>
      <c r="C290" s="8"/>
      <c r="D290" s="8"/>
      <c r="E290" s="8"/>
      <c r="F290" s="308"/>
      <c r="G290" s="308"/>
      <c r="H290" s="308"/>
      <c r="I290" s="308"/>
      <c r="J290" s="8"/>
      <c r="K290" s="308"/>
      <c r="L290" s="308"/>
      <c r="M290" s="308"/>
      <c r="N290" s="308"/>
      <c r="O290" s="8"/>
      <c r="P290" s="308"/>
      <c r="Q290" s="308"/>
      <c r="R290" s="308"/>
      <c r="S290" s="308"/>
      <c r="T290" s="8"/>
      <c r="U290" s="308"/>
      <c r="V290" s="308"/>
      <c r="W290" s="308"/>
      <c r="X290" s="309"/>
      <c r="Y290" s="8"/>
      <c r="Z290" s="309"/>
      <c r="AA290" s="309"/>
      <c r="AB290" s="309"/>
      <c r="AC290" s="309"/>
      <c r="AD290" s="8"/>
      <c r="AE290" s="8"/>
      <c r="AF290" s="8"/>
      <c r="AG290" s="8"/>
      <c r="AH290" s="8"/>
      <c r="AI290" s="8"/>
      <c r="AJ290" s="8"/>
      <c r="AK290" s="8"/>
    </row>
    <row r="291" ht="13.5" customHeight="1" spans="1:37" x14ac:dyDescent="0.25">
      <c r="A291" s="257"/>
      <c r="B291" s="8"/>
      <c r="C291" s="8" t="s">
        <v>308</v>
      </c>
      <c r="D291" s="8"/>
      <c r="E291" s="8"/>
      <c r="F291" s="308"/>
      <c r="G291" s="308"/>
      <c r="H291" s="308"/>
      <c r="I291" s="308"/>
      <c r="J291" s="8"/>
      <c r="K291" s="308"/>
      <c r="L291" s="308"/>
      <c r="M291" s="308"/>
      <c r="N291" s="308"/>
      <c r="O291" s="8"/>
      <c r="P291" s="308"/>
      <c r="Q291" s="308"/>
      <c r="R291" s="308"/>
      <c r="S291" s="308"/>
      <c r="T291" s="8"/>
      <c r="U291" s="308"/>
      <c r="V291" s="308"/>
      <c r="W291" s="308"/>
      <c r="X291" s="274">
        <f t="shared" ref="X291:AG291" si="91">X89</f>
        <v>266.57368419872853</v>
      </c>
      <c r="Y291" s="275">
        <f t="shared" si="91"/>
        <v>266.57368419872853</v>
      </c>
      <c r="Z291" s="274">
        <f t="shared" si="91"/>
        <v>642.2405599128278</v>
      </c>
      <c r="AA291" s="274">
        <f t="shared" si="91"/>
        <v>708.2845865994918</v>
      </c>
      <c r="AB291" s="274">
        <f t="shared" si="91"/>
        <v>517.7431538767369</v>
      </c>
      <c r="AC291" s="274">
        <f t="shared" si="91"/>
        <v>462.68520884150394</v>
      </c>
      <c r="AD291" s="275">
        <f t="shared" si="91"/>
        <v>2330.9535092305605</v>
      </c>
      <c r="AE291" s="275">
        <f t="shared" si="91"/>
        <v>2742.143972467801</v>
      </c>
      <c r="AF291" s="275">
        <f t="shared" si="91"/>
        <v>3018.154063607673</v>
      </c>
      <c r="AG291" s="275">
        <f t="shared" si="91"/>
        <v>3144.9903035368097</v>
      </c>
      <c r="AH291" s="8"/>
      <c r="AI291" s="8"/>
      <c r="AJ291" s="8"/>
      <c r="AK291" s="8"/>
    </row>
    <row r="292" ht="13.5" customHeight="1" spans="1:37" x14ac:dyDescent="0.25">
      <c r="A292" s="257"/>
      <c r="B292" s="8"/>
      <c r="C292" s="130" t="s">
        <v>423</v>
      </c>
      <c r="D292" s="8"/>
      <c r="E292" s="8"/>
      <c r="F292" s="308"/>
      <c r="G292" s="308"/>
      <c r="H292" s="308"/>
      <c r="I292" s="308"/>
      <c r="J292" s="8"/>
      <c r="K292" s="308"/>
      <c r="L292" s="308"/>
      <c r="M292" s="308"/>
      <c r="N292" s="308"/>
      <c r="O292" s="8"/>
      <c r="P292" s="308"/>
      <c r="Q292" s="308"/>
      <c r="R292" s="308"/>
      <c r="S292" s="308"/>
      <c r="T292" s="8"/>
      <c r="U292" s="308"/>
      <c r="V292" s="308"/>
      <c r="W292" s="308"/>
      <c r="X292" s="358">
        <f t="shared" ref="X292:AG292" si="92">-X244</f>
        <v>0</v>
      </c>
      <c r="Y292" s="153">
        <f t="shared" si="92"/>
        <v>0</v>
      </c>
      <c r="Z292" s="358">
        <f t="shared" si="92"/>
        <v>-550</v>
      </c>
      <c r="AA292" s="358">
        <f t="shared" si="92"/>
        <v>0</v>
      </c>
      <c r="AB292" s="358">
        <f t="shared" si="92"/>
        <v>0</v>
      </c>
      <c r="AC292" s="358">
        <f t="shared" si="92"/>
        <v>0</v>
      </c>
      <c r="AD292" s="153">
        <f t="shared" si="92"/>
        <v>-550</v>
      </c>
      <c r="AE292" s="153">
        <f t="shared" si="92"/>
        <v>-600</v>
      </c>
      <c r="AF292" s="153">
        <f t="shared" si="92"/>
        <v>-650</v>
      </c>
      <c r="AG292" s="153">
        <f t="shared" si="92"/>
        <v>-700</v>
      </c>
      <c r="AH292" s="8"/>
      <c r="AI292" s="8"/>
      <c r="AJ292" s="8"/>
      <c r="AK292" s="8"/>
    </row>
    <row r="293" ht="13.5" customHeight="1" spans="1:37" x14ac:dyDescent="0.25">
      <c r="A293" s="257"/>
      <c r="B293" s="8"/>
      <c r="C293" s="130" t="s">
        <v>409</v>
      </c>
      <c r="D293" s="8"/>
      <c r="E293" s="8"/>
      <c r="F293" s="308"/>
      <c r="G293" s="308"/>
      <c r="H293" s="308"/>
      <c r="I293" s="308"/>
      <c r="J293" s="8"/>
      <c r="K293" s="308"/>
      <c r="L293" s="308"/>
      <c r="M293" s="308"/>
      <c r="N293" s="308"/>
      <c r="O293" s="8"/>
      <c r="P293" s="308"/>
      <c r="Q293" s="308"/>
      <c r="R293" s="308"/>
      <c r="S293" s="308"/>
      <c r="T293" s="8"/>
      <c r="U293" s="308"/>
      <c r="V293" s="308"/>
      <c r="W293" s="308"/>
      <c r="X293" s="358">
        <f t="shared" ref="X293:AG293" si="93">-X270</f>
        <v>0</v>
      </c>
      <c r="Y293" s="153">
        <f t="shared" si="93"/>
        <v>0</v>
      </c>
      <c r="Z293" s="358">
        <f t="shared" si="93"/>
        <v>0</v>
      </c>
      <c r="AA293" s="358">
        <f t="shared" si="93"/>
        <v>0</v>
      </c>
      <c r="AB293" s="358">
        <f t="shared" si="93"/>
        <v>0</v>
      </c>
      <c r="AC293" s="358">
        <f t="shared" si="93"/>
        <v>0</v>
      </c>
      <c r="AD293" s="153">
        <f t="shared" si="93"/>
        <v>0</v>
      </c>
      <c r="AE293" s="153">
        <f t="shared" si="93"/>
        <v>0</v>
      </c>
      <c r="AF293" s="153">
        <f t="shared" si="93"/>
        <v>0</v>
      </c>
      <c r="AG293" s="153">
        <f t="shared" si="93"/>
        <v>0</v>
      </c>
      <c r="AH293" s="8"/>
      <c r="AI293" s="8"/>
      <c r="AJ293" s="8"/>
      <c r="AK293" s="8"/>
    </row>
    <row r="294" ht="13.5" customHeight="1" spans="1:37" x14ac:dyDescent="0.25">
      <c r="A294" s="257"/>
      <c r="B294" s="8"/>
      <c r="C294" s="130" t="s">
        <v>312</v>
      </c>
      <c r="D294" s="8"/>
      <c r="E294" s="8"/>
      <c r="F294" s="308"/>
      <c r="G294" s="308"/>
      <c r="H294" s="308"/>
      <c r="I294" s="308"/>
      <c r="J294" s="8"/>
      <c r="K294" s="308"/>
      <c r="L294" s="308"/>
      <c r="M294" s="308"/>
      <c r="N294" s="308"/>
      <c r="O294" s="8"/>
      <c r="P294" s="308"/>
      <c r="Q294" s="308"/>
      <c r="R294" s="308"/>
      <c r="S294" s="308"/>
      <c r="T294" s="8"/>
      <c r="U294" s="308"/>
      <c r="V294" s="308"/>
      <c r="W294" s="308"/>
      <c r="X294" s="325">
        <f t="shared" ref="X294:AG294" si="94">X248</f>
        <v>0</v>
      </c>
      <c r="Y294" s="324">
        <f t="shared" si="94"/>
        <v>0</v>
      </c>
      <c r="Z294" s="325">
        <f t="shared" si="94"/>
        <v>0</v>
      </c>
      <c r="AA294" s="325">
        <f t="shared" si="94"/>
        <v>0</v>
      </c>
      <c r="AB294" s="325">
        <f t="shared" si="94"/>
        <v>0</v>
      </c>
      <c r="AC294" s="325">
        <f t="shared" si="94"/>
        <v>0</v>
      </c>
      <c r="AD294" s="324">
        <f t="shared" si="94"/>
        <v>0</v>
      </c>
      <c r="AE294" s="324">
        <f t="shared" si="94"/>
        <v>0</v>
      </c>
      <c r="AF294" s="324">
        <f t="shared" si="94"/>
        <v>0</v>
      </c>
      <c r="AG294" s="324">
        <f t="shared" si="94"/>
        <v>0</v>
      </c>
      <c r="AH294" s="8"/>
      <c r="AI294" s="8"/>
      <c r="AJ294" s="8"/>
      <c r="AK294" s="8"/>
    </row>
    <row r="295" ht="13.5" customHeight="1" spans="1:37" x14ac:dyDescent="0.25">
      <c r="A295" s="257"/>
      <c r="B295" s="8"/>
      <c r="C295" s="130" t="s">
        <v>320</v>
      </c>
      <c r="D295" s="8"/>
      <c r="E295" s="8"/>
      <c r="F295" s="308"/>
      <c r="G295" s="308"/>
      <c r="H295" s="308"/>
      <c r="I295" s="308"/>
      <c r="J295" s="8"/>
      <c r="K295" s="308"/>
      <c r="L295" s="308"/>
      <c r="M295" s="308"/>
      <c r="N295" s="308"/>
      <c r="O295" s="8"/>
      <c r="P295" s="308"/>
      <c r="Q295" s="308"/>
      <c r="R295" s="308"/>
      <c r="S295" s="308"/>
      <c r="T295" s="8"/>
      <c r="U295" s="308"/>
      <c r="V295" s="308"/>
      <c r="W295" s="308"/>
      <c r="X295" s="358">
        <f t="shared" ref="X295:AG295" si="95">X104</f>
        <v>0</v>
      </c>
      <c r="Y295" s="153">
        <f t="shared" si="95"/>
        <v>0</v>
      </c>
      <c r="Z295" s="358">
        <f t="shared" si="95"/>
        <v>58.332247659647805</v>
      </c>
      <c r="AA295" s="358">
        <f t="shared" si="95"/>
        <v>57.31769938501009</v>
      </c>
      <c r="AB295" s="358">
        <f t="shared" si="95"/>
        <v>60.40384033886687</v>
      </c>
      <c r="AC295" s="358">
        <f t="shared" si="95"/>
        <v>60.149034243360575</v>
      </c>
      <c r="AD295" s="153">
        <f t="shared" si="95"/>
        <v>58.332247659647805</v>
      </c>
      <c r="AE295" s="153">
        <f t="shared" si="95"/>
        <v>59.47452618091313</v>
      </c>
      <c r="AF295" s="153">
        <f t="shared" si="95"/>
        <v>248.82643871512903</v>
      </c>
      <c r="AG295" s="153">
        <f t="shared" si="95"/>
        <v>261.4636510962911</v>
      </c>
      <c r="AH295" s="8"/>
      <c r="AI295" s="8"/>
      <c r="AJ295" s="8"/>
      <c r="AK295" s="8"/>
    </row>
    <row r="296" ht="13.5" customHeight="1" spans="1:37" x14ac:dyDescent="0.25">
      <c r="A296" s="257"/>
      <c r="B296" s="8"/>
      <c r="C296" s="130" t="s">
        <v>429</v>
      </c>
      <c r="D296" s="8"/>
      <c r="E296" s="8"/>
      <c r="F296" s="308"/>
      <c r="G296" s="308"/>
      <c r="H296" s="308"/>
      <c r="I296" s="308"/>
      <c r="J296" s="8"/>
      <c r="K296" s="308"/>
      <c r="L296" s="308"/>
      <c r="M296" s="308"/>
      <c r="N296" s="308"/>
      <c r="O296" s="8"/>
      <c r="P296" s="308"/>
      <c r="Q296" s="308"/>
      <c r="R296" s="308"/>
      <c r="S296" s="308"/>
      <c r="T296" s="8"/>
      <c r="U296" s="308"/>
      <c r="V296" s="308"/>
      <c r="W296" s="308"/>
      <c r="X296" s="358">
        <f t="shared" ref="X296:AG296" si="96">X302*X28</f>
        <v>0</v>
      </c>
      <c r="Y296" s="153">
        <f t="shared" si="96"/>
        <v>0</v>
      </c>
      <c r="Z296" s="358">
        <f t="shared" si="96"/>
        <v>0</v>
      </c>
      <c r="AA296" s="358">
        <f t="shared" si="96"/>
        <v>0</v>
      </c>
      <c r="AB296" s="358">
        <f t="shared" si="96"/>
        <v>0</v>
      </c>
      <c r="AC296" s="358">
        <f t="shared" si="96"/>
        <v>0</v>
      </c>
      <c r="AD296" s="153">
        <f t="shared" si="96"/>
        <v>0</v>
      </c>
      <c r="AE296" s="153">
        <f t="shared" si="96"/>
        <v>0</v>
      </c>
      <c r="AF296" s="153">
        <f t="shared" si="96"/>
        <v>0</v>
      </c>
      <c r="AG296" s="153">
        <f t="shared" si="96"/>
        <v>0</v>
      </c>
      <c r="AH296" s="8"/>
      <c r="AI296" s="8"/>
      <c r="AJ296" s="8"/>
      <c r="AK296" s="8"/>
    </row>
    <row r="297" ht="13.5" customHeight="1" spans="1:37" x14ac:dyDescent="0.25">
      <c r="A297" s="257"/>
      <c r="B297" s="8"/>
      <c r="C297" s="130" t="s">
        <v>430</v>
      </c>
      <c r="D297" s="8"/>
      <c r="E297" s="8"/>
      <c r="F297" s="308"/>
      <c r="G297" s="308"/>
      <c r="H297" s="308"/>
      <c r="I297" s="308"/>
      <c r="J297" s="8"/>
      <c r="K297" s="308"/>
      <c r="L297" s="308"/>
      <c r="M297" s="308"/>
      <c r="N297" s="308"/>
      <c r="O297" s="8"/>
      <c r="P297" s="308"/>
      <c r="Q297" s="308"/>
      <c r="R297" s="308"/>
      <c r="S297" s="308"/>
      <c r="T297" s="8"/>
      <c r="U297" s="308"/>
      <c r="V297" s="308"/>
      <c r="W297" s="308"/>
      <c r="X297" s="274">
        <f t="shared" ref="X297:AG297" si="97">SUM(X291:X296)</f>
        <v>-394.7585634609193</v>
      </c>
      <c r="Y297" s="275">
        <f t="shared" si="97"/>
        <v>-2319.2697517922784</v>
      </c>
      <c r="Z297" s="274">
        <f t="shared" si="97"/>
        <v>-105.84489181253446</v>
      </c>
      <c r="AA297" s="274">
        <f t="shared" si="97"/>
        <v>306.99844564563506</v>
      </c>
      <c r="AB297" s="274">
        <f t="shared" si="97"/>
        <v>-80.4020400277569</v>
      </c>
      <c r="AC297" s="274">
        <f t="shared" si="97"/>
        <v>-292.34028309604867</v>
      </c>
      <c r="AD297" s="275">
        <f t="shared" si="97"/>
        <v>-349.4593432579426</v>
      </c>
      <c r="AE297" s="275">
        <f t="shared" si="97"/>
        <v>-193.74794006641517</v>
      </c>
      <c r="AF297" s="275">
        <f t="shared" si="97"/>
        <v>-5.67714877349016</v>
      </c>
      <c r="AG297" s="275">
        <f t="shared" si="97"/>
        <v>-164.8993195580316</v>
      </c>
      <c r="AH297" s="8"/>
      <c r="AI297" s="8"/>
      <c r="AJ297" s="8"/>
      <c r="AK297" s="8"/>
    </row>
    <row r="298" ht="13.5" customHeight="1" spans="1:37" x14ac:dyDescent="0.25">
      <c r="A298" s="257"/>
      <c r="B298" s="8"/>
      <c r="C298" s="130" t="s">
        <v>431</v>
      </c>
      <c r="D298" s="8"/>
      <c r="E298" s="8"/>
      <c r="F298" s="308"/>
      <c r="G298" s="308"/>
      <c r="H298" s="308"/>
      <c r="I298" s="308"/>
      <c r="J298" s="8"/>
      <c r="K298" s="308"/>
      <c r="L298" s="308"/>
      <c r="M298" s="308"/>
      <c r="N298" s="308"/>
      <c r="O298" s="8"/>
      <c r="P298" s="308"/>
      <c r="Q298" s="308"/>
      <c r="R298" s="308"/>
      <c r="S298" s="308"/>
      <c r="T298" s="8"/>
      <c r="U298" s="308"/>
      <c r="V298" s="308"/>
      <c r="W298" s="308"/>
      <c r="X298" s="484">
        <f>Drivers!X152</f>
        <v>250</v>
      </c>
      <c r="Y298" s="485">
        <f>Drivers!Y152</f>
        <v>850</v>
      </c>
      <c r="Z298" s="484">
        <f>Drivers!Z152</f>
        <v>600</v>
      </c>
      <c r="AA298" s="484">
        <f>Drivers!AA152</f>
        <v>0</v>
      </c>
      <c r="AB298" s="484">
        <f>Drivers!AB152</f>
        <v>0</v>
      </c>
      <c r="AC298" s="484">
        <f>Drivers!AC152</f>
        <v>0</v>
      </c>
      <c r="AD298" s="485">
        <f>Drivers!AD152</f>
        <v>600</v>
      </c>
      <c r="AE298" s="485">
        <f>Drivers!AE152</f>
        <v>600</v>
      </c>
      <c r="AF298" s="485">
        <f>Drivers!AF152</f>
        <v>0</v>
      </c>
      <c r="AG298" s="485">
        <f>Drivers!AG152</f>
        <v>0</v>
      </c>
      <c r="AH298" s="8"/>
      <c r="AI298" s="8"/>
      <c r="AJ298" s="8"/>
      <c r="AK298" s="8"/>
    </row>
    <row r="299" ht="13.5" customHeight="1" spans="1:37" x14ac:dyDescent="0.25">
      <c r="A299" s="257"/>
      <c r="B299" s="8"/>
      <c r="C299" s="130" t="s">
        <v>432</v>
      </c>
      <c r="D299" s="8"/>
      <c r="E299" s="8"/>
      <c r="F299" s="308"/>
      <c r="G299" s="308"/>
      <c r="H299" s="308"/>
      <c r="I299" s="308"/>
      <c r="J299" s="8"/>
      <c r="K299" s="308"/>
      <c r="L299" s="308"/>
      <c r="M299" s="308"/>
      <c r="N299" s="308"/>
      <c r="O299" s="8"/>
      <c r="P299" s="308"/>
      <c r="Q299" s="308"/>
      <c r="R299" s="308"/>
      <c r="S299" s="308"/>
      <c r="T299" s="8"/>
      <c r="U299" s="308"/>
      <c r="V299" s="308"/>
      <c r="W299" s="308"/>
      <c r="X299" s="484">
        <f>Drivers!X157</f>
        <v>0</v>
      </c>
      <c r="Y299" s="485">
        <f>Drivers!Y157</f>
        <v>-1800</v>
      </c>
      <c r="Z299" s="484">
        <f>Drivers!Z157</f>
        <v>-600</v>
      </c>
      <c r="AA299" s="484">
        <f>Drivers!AA157</f>
        <v>-600</v>
      </c>
      <c r="AB299" s="484">
        <f>Drivers!AB157</f>
        <v>-600</v>
      </c>
      <c r="AC299" s="484">
        <f>Drivers!AC157</f>
        <v>-600</v>
      </c>
      <c r="AD299" s="485">
        <f>Drivers!AD157</f>
        <v>-2400</v>
      </c>
      <c r="AE299" s="485">
        <f>Drivers!AE157</f>
        <v>-600</v>
      </c>
      <c r="AF299" s="485">
        <f>Drivers!AF157</f>
        <v>-600</v>
      </c>
      <c r="AG299" s="485">
        <f>Drivers!AG157</f>
        <v>-600</v>
      </c>
      <c r="AH299" s="8"/>
      <c r="AI299" s="8"/>
      <c r="AJ299" s="8"/>
      <c r="AK299" s="8"/>
    </row>
    <row r="300" ht="13.5" customHeight="1" spans="1:37" x14ac:dyDescent="0.25">
      <c r="A300" s="257"/>
      <c r="B300" s="8"/>
      <c r="C300" s="8" t="s">
        <v>433</v>
      </c>
      <c r="D300" s="8"/>
      <c r="E300" s="8"/>
      <c r="F300" s="308"/>
      <c r="G300" s="308"/>
      <c r="H300" s="308"/>
      <c r="I300" s="308"/>
      <c r="J300" s="8"/>
      <c r="K300" s="308"/>
      <c r="L300" s="308"/>
      <c r="M300" s="308"/>
      <c r="N300" s="308"/>
      <c r="O300" s="8"/>
      <c r="P300" s="308"/>
      <c r="Q300" s="308"/>
      <c r="R300" s="308"/>
      <c r="S300" s="308"/>
      <c r="T300" s="8"/>
      <c r="U300" s="308"/>
      <c r="V300" s="308"/>
      <c r="W300" s="308"/>
      <c r="X300" s="274">
        <f t="shared" ref="X300:AG300" si="98">SUM(X297:X299)</f>
        <v>-144.75856346091928</v>
      </c>
      <c r="Y300" s="275">
        <f t="shared" si="98"/>
        <v>-3269.2697517922784</v>
      </c>
      <c r="Z300" s="274">
        <f t="shared" si="98"/>
        <v>-105.84489181253446</v>
      </c>
      <c r="AA300" s="274">
        <f t="shared" si="98"/>
        <v>-293.00155435436494</v>
      </c>
      <c r="AB300" s="274">
        <f t="shared" si="98"/>
        <v>-680.4020400277569</v>
      </c>
      <c r="AC300" s="274">
        <f t="shared" si="98"/>
        <v>-892.3402830960487</v>
      </c>
      <c r="AD300" s="275">
        <f t="shared" si="98"/>
        <v>-2149.4593432579427</v>
      </c>
      <c r="AE300" s="275">
        <f t="shared" si="98"/>
        <v>-193.74794006641514</v>
      </c>
      <c r="AF300" s="275">
        <f t="shared" si="98"/>
        <v>-605.6771487734902</v>
      </c>
      <c r="AG300" s="275">
        <f t="shared" si="98"/>
        <v>-764.8993195580316</v>
      </c>
      <c r="AH300" s="8"/>
      <c r="AI300" s="8"/>
      <c r="AJ300" s="8"/>
      <c r="AK300" s="8"/>
    </row>
    <row r="301" ht="13.5" customHeight="1" spans="1:37" x14ac:dyDescent="0.25">
      <c r="A301" s="257"/>
      <c r="B301" s="8"/>
      <c r="C301" s="8"/>
      <c r="D301" s="8"/>
      <c r="E301" s="8"/>
      <c r="F301" s="308"/>
      <c r="G301" s="308"/>
      <c r="H301" s="308"/>
      <c r="I301" s="308"/>
      <c r="J301" s="8"/>
      <c r="K301" s="308"/>
      <c r="L301" s="308"/>
      <c r="M301" s="308"/>
      <c r="N301" s="308"/>
      <c r="O301" s="8"/>
      <c r="P301" s="308"/>
      <c r="Q301" s="308"/>
      <c r="R301" s="308"/>
      <c r="S301" s="308"/>
      <c r="T301" s="8"/>
      <c r="U301" s="308"/>
      <c r="V301" s="308"/>
      <c r="W301" s="308"/>
      <c r="X301" s="309"/>
      <c r="Y301" s="8"/>
      <c r="Z301" s="309"/>
      <c r="AA301" s="309"/>
      <c r="AB301" s="309"/>
      <c r="AC301" s="309"/>
      <c r="AD301" s="8"/>
      <c r="AE301" s="8"/>
      <c r="AF301" s="8"/>
      <c r="AG301" s="8"/>
      <c r="AH301" s="8"/>
      <c r="AI301" s="8"/>
      <c r="AJ301" s="8"/>
      <c r="AK301" s="8"/>
    </row>
    <row r="302" ht="13.5" customHeight="1" spans="1:37" x14ac:dyDescent="0.25">
      <c r="A302" s="257"/>
      <c r="B302" s="8"/>
      <c r="C302" s="296" t="s">
        <v>434</v>
      </c>
      <c r="D302" s="8"/>
      <c r="E302" s="8"/>
      <c r="F302" s="486">
        <f>F181/F28</f>
        <v>-0.19292534722222227</v>
      </c>
      <c r="G302" s="486">
        <f>G181/G28</f>
        <v>0.01443976489100762</v>
      </c>
      <c r="H302" s="486">
        <f>H181/H28</f>
        <v>0.001404558017307738</v>
      </c>
      <c r="I302" s="486">
        <f>I181/I28</f>
        <v>0.06312126106043718</v>
      </c>
      <c r="J302" s="487">
        <f>J181/J28</f>
        <v>-0.026274516612555053</v>
      </c>
      <c r="K302" s="486">
        <f t="shared" ref="K302:W302" si="99">K181/K28</f>
        <v>-0.05208380265825637</v>
      </c>
      <c r="L302" s="486">
        <f t="shared" si="99"/>
        <v>0.011366073343341197</v>
      </c>
      <c r="M302" s="486">
        <f t="shared" si="99"/>
        <v>-0.0187179487179487</v>
      </c>
      <c r="N302" s="486">
        <f t="shared" si="99"/>
        <v>0.03146309883470003</v>
      </c>
      <c r="O302" s="487">
        <f t="shared" si="99"/>
        <v>-0.006516072980017376</v>
      </c>
      <c r="P302" s="486">
        <f t="shared" si="99"/>
        <v>-0.049640757674722404</v>
      </c>
      <c r="Q302" s="486">
        <f t="shared" si="99"/>
        <v>0.003482179434657927</v>
      </c>
      <c r="R302" s="486">
        <f t="shared" si="99"/>
        <v>0.0060078723845038325</v>
      </c>
      <c r="S302" s="486">
        <f t="shared" si="99"/>
        <v>0.026866934630844087</v>
      </c>
      <c r="T302" s="487">
        <f t="shared" si="99"/>
        <v>-0.002890325292973882</v>
      </c>
      <c r="U302" s="486">
        <f t="shared" si="99"/>
        <v>0</v>
      </c>
      <c r="V302" s="486">
        <f t="shared" si="99"/>
        <v>0</v>
      </c>
      <c r="W302" s="486">
        <f t="shared" si="99"/>
        <v>0</v>
      </c>
      <c r="X302" s="488">
        <f t="shared" ref="X302:AG302" si="100">AVERAGE($F$302:$V$302)</f>
        <v>0</v>
      </c>
      <c r="Y302" s="487">
        <f t="shared" si="100"/>
        <v>0</v>
      </c>
      <c r="Z302" s="488">
        <f t="shared" si="100"/>
        <v>0</v>
      </c>
      <c r="AA302" s="488">
        <f t="shared" si="100"/>
        <v>0</v>
      </c>
      <c r="AB302" s="488">
        <f t="shared" si="100"/>
        <v>0</v>
      </c>
      <c r="AC302" s="488">
        <f t="shared" si="100"/>
        <v>0</v>
      </c>
      <c r="AD302" s="487">
        <f t="shared" si="100"/>
        <v>0</v>
      </c>
      <c r="AE302" s="487">
        <f t="shared" si="100"/>
        <v>0</v>
      </c>
      <c r="AF302" s="487">
        <f t="shared" si="100"/>
        <v>0</v>
      </c>
      <c r="AG302" s="487">
        <f t="shared" si="100"/>
        <v>0</v>
      </c>
      <c r="AH302" s="8"/>
      <c r="AI302" s="8"/>
      <c r="AJ302" s="8"/>
      <c r="AK302" s="8"/>
    </row>
    <row r="303" ht="13.5" customHeight="1" spans="1:37" x14ac:dyDescent="0.25">
      <c r="A303" s="257"/>
      <c r="B303" s="8"/>
      <c r="C303" s="8"/>
      <c r="D303" s="8"/>
      <c r="E303" s="8"/>
      <c r="F303" s="308"/>
      <c r="G303" s="308"/>
      <c r="H303" s="308"/>
      <c r="I303" s="308"/>
      <c r="J303" s="8"/>
      <c r="K303" s="308"/>
      <c r="L303" s="308"/>
      <c r="M303" s="308"/>
      <c r="N303" s="308"/>
      <c r="O303" s="8"/>
      <c r="P303" s="308"/>
      <c r="Q303" s="308"/>
      <c r="R303" s="308"/>
      <c r="S303" s="308"/>
      <c r="T303" s="8"/>
      <c r="U303" s="308"/>
      <c r="V303" s="308"/>
      <c r="W303" s="308"/>
      <c r="X303" s="309"/>
      <c r="Y303" s="8"/>
      <c r="Z303" s="309"/>
      <c r="AA303" s="309"/>
      <c r="AB303" s="309"/>
      <c r="AC303" s="309"/>
      <c r="AD303" s="8"/>
      <c r="AE303" s="8"/>
      <c r="AF303" s="8"/>
      <c r="AG303" s="8"/>
      <c r="AH303" s="8"/>
      <c r="AI303" s="8"/>
      <c r="AJ303" s="8"/>
      <c r="AK303" s="8"/>
    </row>
    <row r="304" ht="13.5" customHeight="1" spans="1:37" x14ac:dyDescent="0.25">
      <c r="A304" s="257"/>
      <c r="B304" s="8"/>
      <c r="C304" s="122" t="s">
        <v>435</v>
      </c>
      <c r="D304" s="8"/>
      <c r="E304" s="8"/>
      <c r="F304" s="308"/>
      <c r="G304" s="308"/>
      <c r="H304" s="308"/>
      <c r="I304" s="308"/>
      <c r="J304" s="8"/>
      <c r="K304" s="308"/>
      <c r="L304" s="308"/>
      <c r="M304" s="308"/>
      <c r="N304" s="308"/>
      <c r="O304" s="8"/>
      <c r="P304" s="308"/>
      <c r="Q304" s="308"/>
      <c r="R304" s="308"/>
      <c r="S304" s="308"/>
      <c r="T304" s="8"/>
      <c r="U304" s="308"/>
      <c r="V304" s="308"/>
      <c r="W304" s="308"/>
      <c r="X304" s="309"/>
      <c r="Y304" s="8"/>
      <c r="Z304" s="309"/>
      <c r="AA304" s="309"/>
      <c r="AB304" s="309"/>
      <c r="AC304" s="309"/>
      <c r="AD304" s="8"/>
      <c r="AE304" s="8"/>
      <c r="AF304" s="8"/>
      <c r="AG304" s="8"/>
      <c r="AH304" s="8"/>
      <c r="AI304" s="8"/>
      <c r="AJ304" s="8"/>
      <c r="AK304" s="8"/>
    </row>
    <row r="305" ht="13.5" customHeight="1" spans="1:37" x14ac:dyDescent="0.25">
      <c r="A305" s="257"/>
      <c r="B305" s="8"/>
      <c r="C305" s="130" t="s">
        <v>404</v>
      </c>
      <c r="D305" s="8"/>
      <c r="E305" s="8"/>
      <c r="F305" s="348">
        <f>E307</f>
        <v>0</v>
      </c>
      <c r="G305" s="348">
        <f>F307</f>
        <v>0</v>
      </c>
      <c r="H305" s="348">
        <f>G307</f>
        <v>0</v>
      </c>
      <c r="I305" s="348">
        <f>H307</f>
        <v>0</v>
      </c>
      <c r="J305" s="275">
        <f>F305</f>
        <v>0</v>
      </c>
      <c r="K305" s="348">
        <f>J307</f>
        <v>0</v>
      </c>
      <c r="L305" s="348">
        <f>K307</f>
        <v>0</v>
      </c>
      <c r="M305" s="348">
        <f>L307</f>
        <v>0</v>
      </c>
      <c r="N305" s="348">
        <f>M307</f>
        <v>0</v>
      </c>
      <c r="O305" s="275">
        <f>K305</f>
        <v>0</v>
      </c>
      <c r="P305" s="348">
        <f>O307</f>
        <v>0</v>
      </c>
      <c r="Q305" s="348">
        <f>P307</f>
        <v>0</v>
      </c>
      <c r="R305" s="348">
        <f>Q307</f>
        <v>0</v>
      </c>
      <c r="S305" s="348">
        <f>R307</f>
        <v>0</v>
      </c>
      <c r="T305" s="275">
        <f>P305</f>
        <v>0</v>
      </c>
      <c r="U305" s="348">
        <f>T307</f>
        <v>0</v>
      </c>
      <c r="V305" s="348">
        <f>U307</f>
        <v>0</v>
      </c>
      <c r="W305" s="348">
        <f>V307</f>
        <v>0</v>
      </c>
      <c r="X305" s="274">
        <v>0</v>
      </c>
      <c r="Y305" s="275">
        <f>W307</f>
        <v>0</v>
      </c>
      <c r="Z305" s="274">
        <f>Y307</f>
        <v>3269.2697517922784</v>
      </c>
      <c r="AA305" s="274">
        <v>0</v>
      </c>
      <c r="AB305" s="274">
        <f>AA307</f>
        <v>293.00155435436494</v>
      </c>
      <c r="AC305" s="274">
        <v>0</v>
      </c>
      <c r="AD305" s="275">
        <f>AB307</f>
        <v>973.4035943821218</v>
      </c>
      <c r="AE305" s="275">
        <f>AC307</f>
        <v>892.3402830960487</v>
      </c>
      <c r="AF305" s="275">
        <f>AE307</f>
        <v>1086.0882231624637</v>
      </c>
      <c r="AG305" s="275">
        <f>AF307</f>
        <v>1691.765371935954</v>
      </c>
      <c r="AH305" s="8"/>
      <c r="AI305" s="8"/>
      <c r="AJ305" s="8"/>
      <c r="AK305" s="8"/>
    </row>
    <row r="306" ht="13.5" customHeight="1" spans="1:37" x14ac:dyDescent="0.25">
      <c r="A306" s="257"/>
      <c r="B306" s="8"/>
      <c r="C306" s="130" t="s">
        <v>436</v>
      </c>
      <c r="D306" s="8"/>
      <c r="E306" s="8"/>
      <c r="F306" s="401">
        <f>F307-F305</f>
        <v>0</v>
      </c>
      <c r="G306" s="401">
        <f>G307-G305</f>
        <v>0</v>
      </c>
      <c r="H306" s="401">
        <f>H307-H305</f>
        <v>0</v>
      </c>
      <c r="I306" s="401">
        <f>I307-I305</f>
        <v>0</v>
      </c>
      <c r="J306" s="153">
        <f>IF(J308&gt;J305,J308-J305,0)</f>
        <v>0</v>
      </c>
      <c r="K306" s="401">
        <f>K307-K305</f>
        <v>0</v>
      </c>
      <c r="L306" s="401">
        <f>L307-L305</f>
        <v>0</v>
      </c>
      <c r="M306" s="401">
        <f>M307-M305</f>
        <v>0</v>
      </c>
      <c r="N306" s="401">
        <f>N307-N305</f>
        <v>0</v>
      </c>
      <c r="O306" s="153">
        <f>IF(O308&gt;O305,O308-O305,0)</f>
        <v>0</v>
      </c>
      <c r="P306" s="401">
        <f>P307-P305</f>
        <v>0</v>
      </c>
      <c r="Q306" s="401">
        <f>Q307-Q305</f>
        <v>0</v>
      </c>
      <c r="R306" s="401">
        <f>R307-R305</f>
        <v>0</v>
      </c>
      <c r="S306" s="401">
        <f>S307-S305</f>
        <v>0</v>
      </c>
      <c r="T306" s="153">
        <f>IF(T308&gt;T305,T308-T305,0)</f>
        <v>0</v>
      </c>
      <c r="U306" s="401">
        <f>U307-U305</f>
        <v>0</v>
      </c>
      <c r="V306" s="401">
        <f>V307-V305</f>
        <v>0</v>
      </c>
      <c r="W306" s="401">
        <f>W307-W305</f>
        <v>0</v>
      </c>
      <c r="X306" s="489">
        <f>IF(X300&lt;0,-X300,IF(X300&gt;X305,-X305,-X300))</f>
        <v>144.75856346091928</v>
      </c>
      <c r="Y306" s="324">
        <f t="shared" ref="Y306:AG306" si="101">IF(Y300&lt;0,-Y300,IF(Y300&gt;Y305,-Y305,-Y300))</f>
        <v>3269.2697517922784</v>
      </c>
      <c r="Z306" s="325">
        <f t="shared" si="101"/>
        <v>105.84489181253446</v>
      </c>
      <c r="AA306" s="325">
        <f t="shared" si="101"/>
        <v>293.00155435436494</v>
      </c>
      <c r="AB306" s="325">
        <f t="shared" si="101"/>
        <v>680.4020400277569</v>
      </c>
      <c r="AC306" s="325">
        <f t="shared" si="101"/>
        <v>892.3402830960487</v>
      </c>
      <c r="AD306" s="324">
        <f t="shared" si="101"/>
        <v>2149.4593432579427</v>
      </c>
      <c r="AE306" s="324">
        <f t="shared" si="101"/>
        <v>193.74794006641514</v>
      </c>
      <c r="AF306" s="324">
        <f t="shared" si="101"/>
        <v>605.6771487734902</v>
      </c>
      <c r="AG306" s="324">
        <f t="shared" si="101"/>
        <v>764.8993195580316</v>
      </c>
      <c r="AH306" s="8"/>
      <c r="AI306" s="8"/>
      <c r="AJ306" s="8"/>
      <c r="AK306" s="8"/>
    </row>
    <row r="307" ht="13.5" customHeight="1" spans="1:37" x14ac:dyDescent="0.25">
      <c r="A307" s="257"/>
      <c r="B307" s="8"/>
      <c r="C307" s="8" t="s">
        <v>407</v>
      </c>
      <c r="D307" s="8"/>
      <c r="E307" s="8"/>
      <c r="F307" s="348">
        <f>F142</f>
        <v>0</v>
      </c>
      <c r="G307" s="348">
        <f>G142</f>
        <v>0</v>
      </c>
      <c r="H307" s="348">
        <f>H142</f>
        <v>0</v>
      </c>
      <c r="I307" s="348">
        <f>I142</f>
        <v>0</v>
      </c>
      <c r="J307" s="275">
        <f>J142</f>
        <v>0</v>
      </c>
      <c r="K307" s="348">
        <f t="shared" ref="K307:V307" si="102">K142</f>
        <v>0</v>
      </c>
      <c r="L307" s="348">
        <f t="shared" si="102"/>
        <v>0</v>
      </c>
      <c r="M307" s="348">
        <f t="shared" si="102"/>
        <v>0</v>
      </c>
      <c r="N307" s="348">
        <f t="shared" si="102"/>
        <v>0</v>
      </c>
      <c r="O307" s="275">
        <f t="shared" si="102"/>
        <v>0</v>
      </c>
      <c r="P307" s="348">
        <f t="shared" si="102"/>
        <v>0</v>
      </c>
      <c r="Q307" s="348">
        <f t="shared" si="102"/>
        <v>0</v>
      </c>
      <c r="R307" s="348">
        <f t="shared" si="102"/>
        <v>0</v>
      </c>
      <c r="S307" s="348">
        <f t="shared" si="102"/>
        <v>0</v>
      </c>
      <c r="T307" s="275">
        <f t="shared" si="102"/>
        <v>0</v>
      </c>
      <c r="U307" s="348">
        <f t="shared" si="102"/>
        <v>0</v>
      </c>
      <c r="V307" s="348">
        <f t="shared" si="102"/>
        <v>0</v>
      </c>
      <c r="W307" s="348">
        <f>W142</f>
        <v>0</v>
      </c>
      <c r="X307" s="274">
        <f t="shared" ref="X307:AG307" si="103">SUM(X305:X306)</f>
        <v>144.75856346091928</v>
      </c>
      <c r="Y307" s="275">
        <f t="shared" si="103"/>
        <v>3269.2697517922784</v>
      </c>
      <c r="Z307" s="274">
        <f t="shared" si="103"/>
        <v>3375.114643604813</v>
      </c>
      <c r="AA307" s="274">
        <f t="shared" si="103"/>
        <v>293.00155435436494</v>
      </c>
      <c r="AB307" s="274">
        <f t="shared" si="103"/>
        <v>973.4035943821218</v>
      </c>
      <c r="AC307" s="274">
        <f t="shared" si="103"/>
        <v>892.3402830960487</v>
      </c>
      <c r="AD307" s="275">
        <f t="shared" si="103"/>
        <v>3122.8629376400645</v>
      </c>
      <c r="AE307" s="275">
        <f t="shared" si="103"/>
        <v>1086.0882231624637</v>
      </c>
      <c r="AF307" s="275">
        <f t="shared" si="103"/>
        <v>1691.765371935954</v>
      </c>
      <c r="AG307" s="275">
        <f t="shared" si="103"/>
        <v>2456.6646914939856</v>
      </c>
      <c r="AH307" s="8"/>
      <c r="AI307" s="8"/>
      <c r="AJ307" s="8"/>
      <c r="AK307" s="8"/>
    </row>
    <row r="308" ht="13.5" customHeight="1" spans="1:37" x14ac:dyDescent="0.25">
      <c r="A308" s="257"/>
      <c r="B308" s="8"/>
      <c r="C308" s="8"/>
      <c r="D308" s="8"/>
      <c r="E308" s="8"/>
      <c r="F308" s="401"/>
      <c r="G308" s="401"/>
      <c r="H308" s="401"/>
      <c r="I308" s="401"/>
      <c r="J308" s="153"/>
      <c r="K308" s="401"/>
      <c r="L308" s="401"/>
      <c r="M308" s="401"/>
      <c r="N308" s="401"/>
      <c r="O308" s="153"/>
      <c r="P308" s="401"/>
      <c r="Q308" s="401"/>
      <c r="R308" s="401"/>
      <c r="S308" s="401"/>
      <c r="T308" s="153"/>
      <c r="U308" s="401"/>
      <c r="V308" s="401"/>
      <c r="W308" s="401"/>
      <c r="X308" s="358"/>
      <c r="Y308" s="153"/>
      <c r="Z308" s="358"/>
      <c r="AA308" s="358"/>
      <c r="AB308" s="358"/>
      <c r="AC308" s="358"/>
      <c r="AD308" s="153"/>
      <c r="AE308" s="153"/>
      <c r="AF308" s="153"/>
      <c r="AG308" s="153"/>
      <c r="AH308" s="8"/>
      <c r="AI308" s="8"/>
      <c r="AJ308" s="8"/>
      <c r="AK308" s="8"/>
    </row>
    <row r="309" ht="13.5" customHeight="1" spans="1:37" x14ac:dyDescent="0.25">
      <c r="A309" s="257"/>
      <c r="B309" s="8"/>
      <c r="C309" s="122" t="s">
        <v>437</v>
      </c>
      <c r="D309" s="8"/>
      <c r="E309" s="8"/>
      <c r="F309" s="401"/>
      <c r="G309" s="401"/>
      <c r="H309" s="401"/>
      <c r="I309" s="401"/>
      <c r="J309" s="153"/>
      <c r="K309" s="401"/>
      <c r="L309" s="401"/>
      <c r="M309" s="401"/>
      <c r="N309" s="401"/>
      <c r="O309" s="153"/>
      <c r="P309" s="401"/>
      <c r="Q309" s="401"/>
      <c r="R309" s="401"/>
      <c r="S309" s="401"/>
      <c r="T309" s="153"/>
      <c r="U309" s="401"/>
      <c r="V309" s="401"/>
      <c r="W309" s="401"/>
      <c r="X309" s="358"/>
      <c r="Y309" s="153"/>
      <c r="Z309" s="358"/>
      <c r="AA309" s="358"/>
      <c r="AB309" s="358"/>
      <c r="AC309" s="358"/>
      <c r="AD309" s="153"/>
      <c r="AE309" s="153"/>
      <c r="AF309" s="153"/>
      <c r="AG309" s="153"/>
      <c r="AH309" s="8"/>
      <c r="AI309" s="8"/>
      <c r="AJ309" s="8"/>
      <c r="AK309" s="8"/>
    </row>
    <row r="310" ht="13.5" customHeight="1" spans="1:37" x14ac:dyDescent="0.25">
      <c r="A310" s="257"/>
      <c r="B310" s="8"/>
      <c r="C310" s="130" t="s">
        <v>404</v>
      </c>
      <c r="D310" s="8"/>
      <c r="E310" s="8"/>
      <c r="F310" s="348">
        <f>E313</f>
        <v>0</v>
      </c>
      <c r="G310" s="348">
        <f>F313</f>
        <v>11924.9</v>
      </c>
      <c r="H310" s="348">
        <f>G313</f>
        <v>12113.2</v>
      </c>
      <c r="I310" s="348">
        <f>H313</f>
        <v>11925.1</v>
      </c>
      <c r="J310" s="275">
        <f>F310</f>
        <v>0</v>
      </c>
      <c r="K310" s="348">
        <f>J313</f>
        <v>12819</v>
      </c>
      <c r="L310" s="348">
        <f>K313</f>
        <v>12832</v>
      </c>
      <c r="M310" s="348">
        <f>L313</f>
        <v>12959.7</v>
      </c>
      <c r="N310" s="348">
        <f>M313</f>
        <v>12560.4</v>
      </c>
      <c r="O310" s="275">
        <f>K310</f>
        <v>12819</v>
      </c>
      <c r="P310" s="348">
        <f>O313</f>
        <v>12713</v>
      </c>
      <c r="Q310" s="348">
        <f>P313</f>
        <v>13283</v>
      </c>
      <c r="R310" s="348">
        <f>Q313</f>
        <v>12967</v>
      </c>
      <c r="S310" s="348">
        <f>R313</f>
        <v>13274</v>
      </c>
      <c r="T310" s="275">
        <f>P310</f>
        <v>12713</v>
      </c>
      <c r="U310" s="348">
        <f>T313</f>
        <v>0</v>
      </c>
      <c r="V310" s="348">
        <f>U313</f>
        <v>0</v>
      </c>
      <c r="W310" s="348">
        <f>V313</f>
        <v>0</v>
      </c>
      <c r="X310" s="274">
        <f>W313</f>
        <v>0</v>
      </c>
      <c r="Y310" s="275">
        <f>W313</f>
        <v>0</v>
      </c>
      <c r="Z310" s="274">
        <f>X313</f>
        <v>250</v>
      </c>
      <c r="AA310" s="274">
        <f>Z313</f>
        <v>250</v>
      </c>
      <c r="AB310" s="274">
        <f>AA313</f>
        <v>-350</v>
      </c>
      <c r="AC310" s="274">
        <f>AB313</f>
        <v>-950</v>
      </c>
      <c r="AD310" s="275">
        <f>AB313</f>
        <v>-950</v>
      </c>
      <c r="AE310" s="275">
        <f>AC313</f>
        <v>-1550</v>
      </c>
      <c r="AF310" s="275">
        <f>AE313</f>
        <v>-1550</v>
      </c>
      <c r="AG310" s="275">
        <f>AF313</f>
        <v>-2150</v>
      </c>
      <c r="AH310" s="8"/>
      <c r="AI310" s="8"/>
      <c r="AJ310" s="8"/>
      <c r="AK310" s="8"/>
    </row>
    <row r="311" ht="13.5" customHeight="1" spans="1:37" x14ac:dyDescent="0.25">
      <c r="A311" s="257"/>
      <c r="B311" s="8"/>
      <c r="C311" s="130" t="s">
        <v>310</v>
      </c>
      <c r="D311" s="8"/>
      <c r="E311" s="8"/>
      <c r="F311" s="401">
        <f>IF(F313&gt;F310,F313-F310,0)</f>
        <v>0</v>
      </c>
      <c r="G311" s="401">
        <f>IF(G313&gt;G310,G313-G310,0)</f>
        <v>0</v>
      </c>
      <c r="H311" s="401">
        <f>IF(H313&gt;H310,H313-H310,0)</f>
        <v>0</v>
      </c>
      <c r="I311" s="401">
        <f>IF(I313&gt;I310,I313-I310,0)</f>
        <v>0</v>
      </c>
      <c r="J311" s="153">
        <f>IF(J313&gt;J310,J313-J310,0)</f>
        <v>0</v>
      </c>
      <c r="K311" s="401">
        <f t="shared" ref="K311:V311" si="104">IF(K313&gt;K310,K313-K310,0)</f>
        <v>0</v>
      </c>
      <c r="L311" s="401">
        <f t="shared" si="104"/>
        <v>0</v>
      </c>
      <c r="M311" s="401">
        <f t="shared" si="104"/>
        <v>0</v>
      </c>
      <c r="N311" s="401">
        <f t="shared" si="104"/>
        <v>0</v>
      </c>
      <c r="O311" s="153">
        <f t="shared" si="104"/>
        <v>0</v>
      </c>
      <c r="P311" s="401">
        <f t="shared" si="104"/>
        <v>0</v>
      </c>
      <c r="Q311" s="401">
        <f t="shared" si="104"/>
        <v>0</v>
      </c>
      <c r="R311" s="401">
        <f t="shared" si="104"/>
        <v>0</v>
      </c>
      <c r="S311" s="401">
        <f t="shared" si="104"/>
        <v>0</v>
      </c>
      <c r="T311" s="153">
        <f t="shared" si="104"/>
        <v>0</v>
      </c>
      <c r="U311" s="401">
        <f t="shared" si="104"/>
        <v>0</v>
      </c>
      <c r="V311" s="401">
        <f t="shared" si="104"/>
        <v>0</v>
      </c>
      <c r="W311" s="401">
        <f>IF(W313&gt;W310,W313-W310,0)</f>
        <v>0</v>
      </c>
      <c r="X311" s="325">
        <f t="shared" ref="X311:AG311" si="105">X298</f>
        <v>250</v>
      </c>
      <c r="Y311" s="324">
        <f t="shared" si="105"/>
        <v>850</v>
      </c>
      <c r="Z311" s="325">
        <f t="shared" si="105"/>
        <v>600</v>
      </c>
      <c r="AA311" s="325">
        <f t="shared" si="105"/>
        <v>0</v>
      </c>
      <c r="AB311" s="325">
        <f t="shared" si="105"/>
        <v>0</v>
      </c>
      <c r="AC311" s="325">
        <f t="shared" si="105"/>
        <v>0</v>
      </c>
      <c r="AD311" s="324">
        <f t="shared" si="105"/>
        <v>600</v>
      </c>
      <c r="AE311" s="324">
        <f t="shared" si="105"/>
        <v>600</v>
      </c>
      <c r="AF311" s="324">
        <f t="shared" si="105"/>
        <v>0</v>
      </c>
      <c r="AG311" s="324">
        <f t="shared" si="105"/>
        <v>0</v>
      </c>
      <c r="AH311" s="8"/>
      <c r="AI311" s="8"/>
      <c r="AJ311" s="8"/>
      <c r="AK311" s="8"/>
    </row>
    <row r="312" ht="13.5" customHeight="1" spans="1:37" x14ac:dyDescent="0.25">
      <c r="A312" s="257"/>
      <c r="B312" s="8"/>
      <c r="C312" s="130" t="s">
        <v>438</v>
      </c>
      <c r="D312" s="8"/>
      <c r="E312" s="8"/>
      <c r="F312" s="401">
        <f>IF(F310&gt;F313,F313-F310,0)</f>
        <v>0</v>
      </c>
      <c r="G312" s="401">
        <f>IF(G310&gt;G313,G313-G310,0)</f>
        <v>0</v>
      </c>
      <c r="H312" s="401">
        <f>IF(H310&gt;H313,H313-H310,0)</f>
        <v>0</v>
      </c>
      <c r="I312" s="401">
        <f>IF(I310&gt;I313,I313-I310,0)</f>
        <v>0</v>
      </c>
      <c r="J312" s="153">
        <f>IF(J310&gt;J313,J313-J310,0)</f>
        <v>0</v>
      </c>
      <c r="K312" s="401">
        <f t="shared" ref="K312:V312" si="106">IF(K310&gt;K313,K313-K310,0)</f>
        <v>0</v>
      </c>
      <c r="L312" s="401">
        <f t="shared" si="106"/>
        <v>0</v>
      </c>
      <c r="M312" s="401">
        <f t="shared" si="106"/>
        <v>0</v>
      </c>
      <c r="N312" s="401">
        <f t="shared" si="106"/>
        <v>0</v>
      </c>
      <c r="O312" s="153">
        <f t="shared" si="106"/>
        <v>0</v>
      </c>
      <c r="P312" s="401">
        <f t="shared" si="106"/>
        <v>0</v>
      </c>
      <c r="Q312" s="401">
        <f t="shared" si="106"/>
        <v>0</v>
      </c>
      <c r="R312" s="401">
        <f t="shared" si="106"/>
        <v>0</v>
      </c>
      <c r="S312" s="401">
        <f t="shared" si="106"/>
        <v>0</v>
      </c>
      <c r="T312" s="153">
        <f t="shared" si="106"/>
        <v>0</v>
      </c>
      <c r="U312" s="401">
        <f t="shared" si="106"/>
        <v>0</v>
      </c>
      <c r="V312" s="401">
        <f t="shared" si="106"/>
        <v>0</v>
      </c>
      <c r="W312" s="401">
        <f>IF(W310&gt;W313,W313-W310,0)</f>
        <v>0</v>
      </c>
      <c r="X312" s="325">
        <f t="shared" ref="X312:AG312" si="107">X299</f>
        <v>0</v>
      </c>
      <c r="Y312" s="324">
        <f t="shared" si="107"/>
        <v>-1800</v>
      </c>
      <c r="Z312" s="325">
        <f t="shared" si="107"/>
        <v>-600</v>
      </c>
      <c r="AA312" s="325">
        <f t="shared" si="107"/>
        <v>-600</v>
      </c>
      <c r="AB312" s="325">
        <f t="shared" si="107"/>
        <v>-600</v>
      </c>
      <c r="AC312" s="325">
        <f t="shared" si="107"/>
        <v>-600</v>
      </c>
      <c r="AD312" s="324">
        <f t="shared" si="107"/>
        <v>-2400</v>
      </c>
      <c r="AE312" s="324">
        <f t="shared" si="107"/>
        <v>-600</v>
      </c>
      <c r="AF312" s="324">
        <f t="shared" si="107"/>
        <v>-600</v>
      </c>
      <c r="AG312" s="324">
        <f t="shared" si="107"/>
        <v>-600</v>
      </c>
      <c r="AH312" s="8"/>
      <c r="AI312" s="8"/>
      <c r="AJ312" s="8"/>
      <c r="AK312" s="8"/>
    </row>
    <row r="313" ht="13.5" customHeight="1" spans="1:37" x14ac:dyDescent="0.25">
      <c r="A313" s="257"/>
      <c r="B313" s="8"/>
      <c r="C313" s="8" t="s">
        <v>407</v>
      </c>
      <c r="D313" s="8"/>
      <c r="E313" s="8"/>
      <c r="F313" s="348">
        <f>F143</f>
        <v>11924.9</v>
      </c>
      <c r="G313" s="348">
        <f>G143</f>
        <v>12113.2</v>
      </c>
      <c r="H313" s="348">
        <f>H143</f>
        <v>11925.1</v>
      </c>
      <c r="I313" s="348">
        <f>I143</f>
        <v>12819</v>
      </c>
      <c r="J313" s="275">
        <f>J143</f>
        <v>12819</v>
      </c>
      <c r="K313" s="348">
        <f t="shared" ref="K313:V313" si="108">K143</f>
        <v>12832</v>
      </c>
      <c r="L313" s="348">
        <f t="shared" si="108"/>
        <v>12959.7</v>
      </c>
      <c r="M313" s="348">
        <f t="shared" si="108"/>
        <v>12560.4</v>
      </c>
      <c r="N313" s="348">
        <f t="shared" si="108"/>
        <v>12713</v>
      </c>
      <c r="O313" s="275">
        <f t="shared" si="108"/>
        <v>12713</v>
      </c>
      <c r="P313" s="348">
        <f t="shared" si="108"/>
        <v>13283</v>
      </c>
      <c r="Q313" s="348">
        <f t="shared" si="108"/>
        <v>12967</v>
      </c>
      <c r="R313" s="348">
        <f t="shared" si="108"/>
        <v>13274</v>
      </c>
      <c r="S313" s="348">
        <f t="shared" si="108"/>
        <v>13581</v>
      </c>
      <c r="T313" s="275">
        <f t="shared" si="108"/>
        <v>13581</v>
      </c>
      <c r="U313" s="348">
        <f t="shared" si="108"/>
        <v>0</v>
      </c>
      <c r="V313" s="348">
        <f t="shared" si="108"/>
        <v>0</v>
      </c>
      <c r="W313" s="348">
        <f>W143</f>
        <v>0</v>
      </c>
      <c r="X313" s="274">
        <f t="shared" ref="X313:AG313" si="109">SUM(X310:X312)</f>
        <v>250</v>
      </c>
      <c r="Y313" s="275">
        <f t="shared" si="109"/>
        <v>-950</v>
      </c>
      <c r="Z313" s="274">
        <f t="shared" si="109"/>
        <v>250</v>
      </c>
      <c r="AA313" s="274">
        <f t="shared" si="109"/>
        <v>-350</v>
      </c>
      <c r="AB313" s="274">
        <f t="shared" si="109"/>
        <v>-950</v>
      </c>
      <c r="AC313" s="274">
        <f t="shared" si="109"/>
        <v>-1550</v>
      </c>
      <c r="AD313" s="275">
        <f t="shared" si="109"/>
        <v>-2750</v>
      </c>
      <c r="AE313" s="275">
        <f t="shared" si="109"/>
        <v>-1550</v>
      </c>
      <c r="AF313" s="275">
        <f t="shared" si="109"/>
        <v>-2150</v>
      </c>
      <c r="AG313" s="275">
        <f t="shared" si="109"/>
        <v>-2750</v>
      </c>
      <c r="AH313" s="8"/>
      <c r="AI313" s="8"/>
      <c r="AJ313" s="8"/>
      <c r="AK313" s="8"/>
    </row>
    <row r="314" ht="13.5" customHeight="1" spans="1:37" x14ac:dyDescent="0.25" outlineLevel="1" collapsed="1">
      <c r="A314" s="257"/>
      <c r="B314" s="8"/>
      <c r="C314" s="8"/>
      <c r="D314" s="8"/>
      <c r="E314" s="8"/>
      <c r="F314" s="308"/>
      <c r="G314" s="308"/>
      <c r="H314" s="308"/>
      <c r="I314" s="308"/>
      <c r="J314" s="8"/>
      <c r="K314" s="308"/>
      <c r="L314" s="308"/>
      <c r="M314" s="308"/>
      <c r="N314" s="308"/>
      <c r="O314" s="8"/>
      <c r="P314" s="308"/>
      <c r="Q314" s="308"/>
      <c r="R314" s="308"/>
      <c r="S314" s="308"/>
      <c r="T314" s="8"/>
      <c r="U314" s="308"/>
      <c r="V314" s="308"/>
      <c r="W314" s="308"/>
      <c r="X314" s="309"/>
      <c r="Y314" s="8"/>
      <c r="Z314" s="309"/>
      <c r="AA314" s="309"/>
      <c r="AB314" s="309"/>
      <c r="AC314" s="309"/>
      <c r="AD314" s="8"/>
      <c r="AE314" s="8"/>
      <c r="AF314" s="8"/>
      <c r="AG314" s="8"/>
      <c r="AH314" s="8"/>
      <c r="AI314" s="8"/>
      <c r="AJ314" s="8"/>
      <c r="AK314" s="8"/>
    </row>
    <row r="315" ht="13.5" customHeight="1" spans="1:37" x14ac:dyDescent="0.25" outlineLevel="1" collapsed="1">
      <c r="A315" s="257"/>
      <c r="B315" s="8"/>
      <c r="C315" s="122" t="s">
        <v>439</v>
      </c>
      <c r="D315" s="8"/>
      <c r="E315" s="8"/>
      <c r="F315" s="308"/>
      <c r="G315" s="308"/>
      <c r="H315" s="308"/>
      <c r="I315" s="308"/>
      <c r="J315" s="8"/>
      <c r="K315" s="308"/>
      <c r="L315" s="308"/>
      <c r="M315" s="308"/>
      <c r="N315" s="308"/>
      <c r="O315" s="8"/>
      <c r="P315" s="308"/>
      <c r="Q315" s="308"/>
      <c r="R315" s="308"/>
      <c r="S315" s="308"/>
      <c r="T315" s="8"/>
      <c r="U315" s="308"/>
      <c r="V315" s="308"/>
      <c r="W315" s="308"/>
      <c r="X315" s="309"/>
      <c r="Y315" s="8"/>
      <c r="Z315" s="309"/>
      <c r="AA315" s="309"/>
      <c r="AB315" s="309"/>
      <c r="AC315" s="309"/>
      <c r="AD315" s="8"/>
      <c r="AE315" s="8"/>
      <c r="AF315" s="8"/>
      <c r="AG315" s="8"/>
      <c r="AH315" s="8"/>
      <c r="AI315" s="8"/>
      <c r="AJ315" s="8"/>
      <c r="AK315" s="8"/>
    </row>
    <row r="316" ht="13.5" customHeight="1" spans="1:37" x14ac:dyDescent="0.25" outlineLevel="1" collapsed="1">
      <c r="A316" s="257"/>
      <c r="B316" s="8"/>
      <c r="C316" s="130" t="s">
        <v>440</v>
      </c>
      <c r="D316" s="8"/>
      <c r="E316" s="8"/>
      <c r="F316" s="308"/>
      <c r="G316" s="308"/>
      <c r="H316" s="308"/>
      <c r="I316" s="308"/>
      <c r="J316" s="8"/>
      <c r="K316" s="308"/>
      <c r="L316" s="308"/>
      <c r="M316" s="308"/>
      <c r="N316" s="308"/>
      <c r="O316" s="8"/>
      <c r="P316" s="308"/>
      <c r="Q316" s="308"/>
      <c r="R316" s="308"/>
      <c r="S316" s="308"/>
      <c r="T316" s="8"/>
      <c r="U316" s="308"/>
      <c r="V316" s="308"/>
      <c r="W316" s="308"/>
      <c r="X316" s="274">
        <v>0</v>
      </c>
      <c r="Y316" s="8"/>
      <c r="Z316" s="274">
        <v>0</v>
      </c>
      <c r="AA316" s="274">
        <v>0</v>
      </c>
      <c r="AB316" s="274">
        <v>0</v>
      </c>
      <c r="AC316" s="274">
        <v>0</v>
      </c>
      <c r="AD316" s="8"/>
      <c r="AE316" s="275">
        <v>0</v>
      </c>
      <c r="AF316" s="275">
        <v>0</v>
      </c>
      <c r="AG316" s="275">
        <v>0</v>
      </c>
      <c r="AH316" s="8"/>
      <c r="AI316" s="8"/>
      <c r="AJ316" s="8"/>
      <c r="AK316" s="8"/>
    </row>
    <row r="317" ht="13.5" customHeight="1" spans="1:37" x14ac:dyDescent="0.25" outlineLevel="1" collapsed="1">
      <c r="A317" s="257"/>
      <c r="B317" s="8"/>
      <c r="C317" s="130" t="s">
        <v>441</v>
      </c>
      <c r="D317" s="8"/>
      <c r="E317" s="8"/>
      <c r="F317" s="308"/>
      <c r="G317" s="308"/>
      <c r="H317" s="308"/>
      <c r="I317" s="308"/>
      <c r="J317" s="8"/>
      <c r="K317" s="308"/>
      <c r="L317" s="308"/>
      <c r="M317" s="308"/>
      <c r="N317" s="308"/>
      <c r="O317" s="8"/>
      <c r="P317" s="308"/>
      <c r="Q317" s="308"/>
      <c r="R317" s="308"/>
      <c r="S317" s="308"/>
      <c r="T317" s="8"/>
      <c r="U317" s="308"/>
      <c r="V317" s="308"/>
      <c r="W317" s="308"/>
      <c r="X317" s="490">
        <f>5%/4</f>
        <v>0.0125</v>
      </c>
      <c r="Y317" s="8"/>
      <c r="Z317" s="490">
        <f>5%/4</f>
        <v>0.0125</v>
      </c>
      <c r="AA317" s="490">
        <f>5%/4</f>
        <v>0.0125</v>
      </c>
      <c r="AB317" s="490">
        <f>5%/4</f>
        <v>0.0125</v>
      </c>
      <c r="AC317" s="490">
        <f>5%/4</f>
        <v>0.0125</v>
      </c>
      <c r="AD317" s="8"/>
      <c r="AE317" s="491">
        <f>5%</f>
        <v>0.05</v>
      </c>
      <c r="AF317" s="491">
        <f>5%</f>
        <v>0.05</v>
      </c>
      <c r="AG317" s="491">
        <f>5%</f>
        <v>0.05</v>
      </c>
      <c r="AH317" s="8"/>
      <c r="AI317" s="8"/>
      <c r="AJ317" s="8"/>
      <c r="AK317" s="8"/>
    </row>
    <row r="318" ht="13.5" customHeight="1" spans="1:37" x14ac:dyDescent="0.25" outlineLevel="1" collapsed="1">
      <c r="A318" s="257"/>
      <c r="B318" s="8"/>
      <c r="C318" s="130" t="s">
        <v>275</v>
      </c>
      <c r="D318" s="8"/>
      <c r="E318" s="8"/>
      <c r="F318" s="308"/>
      <c r="G318" s="308"/>
      <c r="H318" s="308"/>
      <c r="I318" s="308"/>
      <c r="J318" s="8"/>
      <c r="K318" s="308"/>
      <c r="L318" s="308"/>
      <c r="M318" s="308"/>
      <c r="N318" s="308"/>
      <c r="O318" s="8"/>
      <c r="P318" s="308"/>
      <c r="Q318" s="308"/>
      <c r="R318" s="308"/>
      <c r="S318" s="308"/>
      <c r="T318" s="8"/>
      <c r="U318" s="308"/>
      <c r="V318" s="308"/>
      <c r="W318" s="308"/>
      <c r="X318" s="274">
        <f>-(X316*X317)</f>
        <v>0</v>
      </c>
      <c r="Y318" s="8"/>
      <c r="Z318" s="274">
        <f>-(Z316*Z317)</f>
        <v>0</v>
      </c>
      <c r="AA318" s="274">
        <f>-(AA316*AA317)</f>
        <v>0</v>
      </c>
      <c r="AB318" s="274">
        <f>-(AB316*AB317)</f>
        <v>0</v>
      </c>
      <c r="AC318" s="274">
        <f>-(AC316*AC317)</f>
        <v>0</v>
      </c>
      <c r="AD318" s="8"/>
      <c r="AE318" s="275">
        <f>-(AE316*AE317)</f>
        <v>0</v>
      </c>
      <c r="AF318" s="275">
        <f>-(AF316*AF317)</f>
        <v>0</v>
      </c>
      <c r="AG318" s="275">
        <f>-(AG316*AG317)</f>
        <v>0</v>
      </c>
      <c r="AH318" s="8"/>
      <c r="AI318" s="8"/>
      <c r="AJ318" s="8"/>
      <c r="AK318" s="8"/>
    </row>
    <row r="319" ht="13.5" customHeight="1" spans="1:37" x14ac:dyDescent="0.25" outlineLevel="1" collapsed="1">
      <c r="A319" s="257"/>
      <c r="B319" s="8"/>
      <c r="C319" s="8"/>
      <c r="D319" s="8"/>
      <c r="E319" s="8"/>
      <c r="F319" s="308"/>
      <c r="G319" s="308"/>
      <c r="H319" s="308"/>
      <c r="I319" s="308"/>
      <c r="J319" s="8"/>
      <c r="K319" s="308"/>
      <c r="L319" s="308"/>
      <c r="M319" s="308"/>
      <c r="N319" s="308"/>
      <c r="O319" s="8"/>
      <c r="P319" s="308"/>
      <c r="Q319" s="308"/>
      <c r="R319" s="308"/>
      <c r="S319" s="308"/>
      <c r="T319" s="8"/>
      <c r="U319" s="308"/>
      <c r="V319" s="308"/>
      <c r="W319" s="308"/>
      <c r="X319" s="309"/>
      <c r="Y319" s="8"/>
      <c r="Z319" s="309"/>
      <c r="AA319" s="309"/>
      <c r="AB319" s="309"/>
      <c r="AC319" s="309"/>
      <c r="AD319" s="8"/>
      <c r="AE319" s="8"/>
      <c r="AF319" s="8"/>
      <c r="AG319" s="8"/>
      <c r="AH319" s="8"/>
      <c r="AI319" s="8"/>
      <c r="AJ319" s="8"/>
      <c r="AK319" s="8"/>
    </row>
    <row r="320" ht="13.5" customHeight="1" spans="1:37" x14ac:dyDescent="0.25" outlineLevel="1" collapsed="1">
      <c r="A320" s="257"/>
      <c r="B320" s="8"/>
      <c r="C320" s="122" t="s">
        <v>442</v>
      </c>
      <c r="D320" s="8"/>
      <c r="E320" s="8"/>
      <c r="F320" s="308"/>
      <c r="G320" s="308"/>
      <c r="H320" s="308"/>
      <c r="I320" s="308"/>
      <c r="J320" s="8"/>
      <c r="K320" s="308"/>
      <c r="L320" s="308"/>
      <c r="M320" s="308"/>
      <c r="N320" s="308"/>
      <c r="O320" s="8"/>
      <c r="P320" s="308"/>
      <c r="Q320" s="308"/>
      <c r="R320" s="308"/>
      <c r="S320" s="308"/>
      <c r="T320" s="8"/>
      <c r="U320" s="308"/>
      <c r="V320" s="308"/>
      <c r="W320" s="308"/>
      <c r="X320" s="309"/>
      <c r="Y320" s="8"/>
      <c r="Z320" s="309"/>
      <c r="AA320" s="309"/>
      <c r="AB320" s="309"/>
      <c r="AC320" s="309"/>
      <c r="AD320" s="8"/>
      <c r="AE320" s="8"/>
      <c r="AF320" s="8"/>
      <c r="AG320" s="8"/>
      <c r="AH320" s="8"/>
      <c r="AI320" s="8"/>
      <c r="AJ320" s="8"/>
      <c r="AK320" s="8"/>
    </row>
    <row r="321" ht="13.5" customHeight="1" spans="1:37" x14ac:dyDescent="0.25" outlineLevel="1" collapsed="1">
      <c r="A321" s="257"/>
      <c r="B321" s="8"/>
      <c r="C321" s="130" t="s">
        <v>440</v>
      </c>
      <c r="D321" s="8"/>
      <c r="E321" s="8"/>
      <c r="F321" s="308"/>
      <c r="G321" s="308"/>
      <c r="H321" s="308"/>
      <c r="I321" s="308"/>
      <c r="J321" s="8"/>
      <c r="K321" s="308"/>
      <c r="L321" s="308"/>
      <c r="M321" s="308"/>
      <c r="N321" s="308"/>
      <c r="O321" s="8"/>
      <c r="P321" s="308"/>
      <c r="Q321" s="308"/>
      <c r="R321" s="308"/>
      <c r="S321" s="308"/>
      <c r="T321" s="8"/>
      <c r="U321" s="274">
        <f>AVERAGE(U313,U310)</f>
        <v>0</v>
      </c>
      <c r="V321" s="274">
        <f>AVERAGE(V313,V310)</f>
        <v>0</v>
      </c>
      <c r="W321" s="274">
        <f>AVERAGE(W313,W310)</f>
        <v>0</v>
      </c>
      <c r="X321" s="274">
        <f>AVERAGE(X313,X310)</f>
        <v>125</v>
      </c>
      <c r="Y321" s="8"/>
      <c r="Z321" s="274">
        <f>AVERAGE(Z313,Z310)</f>
        <v>250</v>
      </c>
      <c r="AA321" s="274">
        <f>AVERAGE(AA313,AA310)</f>
        <v>-50</v>
      </c>
      <c r="AB321" s="274">
        <f>AVERAGE(AB313,AB310)</f>
        <v>-650</v>
      </c>
      <c r="AC321" s="274">
        <f>AVERAGE(AC313,AC310)</f>
        <v>-1250</v>
      </c>
      <c r="AD321" s="8"/>
      <c r="AE321" s="275">
        <f>AVERAGE(AE313,AE310)</f>
        <v>-1550</v>
      </c>
      <c r="AF321" s="275">
        <f>AVERAGE(AF313,AF310)</f>
        <v>-1850</v>
      </c>
      <c r="AG321" s="275">
        <f>AVERAGE(AG313,AG310)</f>
        <v>-2450</v>
      </c>
      <c r="AH321" s="8"/>
      <c r="AI321" s="8"/>
      <c r="AJ321" s="8"/>
      <c r="AK321" s="8"/>
    </row>
    <row r="322" ht="13.5" customHeight="1" spans="1:37" x14ac:dyDescent="0.25" outlineLevel="1" collapsed="1">
      <c r="A322" s="257"/>
      <c r="B322" s="8"/>
      <c r="C322" s="130" t="s">
        <v>441</v>
      </c>
      <c r="D322" s="8"/>
      <c r="E322" s="8"/>
      <c r="F322" s="308"/>
      <c r="G322" s="308"/>
      <c r="H322" s="308"/>
      <c r="I322" s="308"/>
      <c r="J322" s="8"/>
      <c r="K322" s="308"/>
      <c r="L322" s="308"/>
      <c r="M322" s="308"/>
      <c r="N322" s="308"/>
      <c r="O322" s="8"/>
      <c r="P322" s="308"/>
      <c r="Q322" s="308"/>
      <c r="R322" s="308"/>
      <c r="S322" s="308"/>
      <c r="T322" s="8"/>
      <c r="U322" s="492" t="e">
        <f>U323/U321</f>
        <v>#DIV/0!</v>
      </c>
      <c r="V322" s="492" t="e">
        <f>V323/V321</f>
        <v>#DIV/0!</v>
      </c>
      <c r="W322" s="492" t="e">
        <f>W323/W321</f>
        <v>#DIV/0!</v>
      </c>
      <c r="X322" s="490">
        <v>0.0098</v>
      </c>
      <c r="Y322" s="8"/>
      <c r="Z322" s="490">
        <v>0.01</v>
      </c>
      <c r="AA322" s="490">
        <v>0.01</v>
      </c>
      <c r="AB322" s="490">
        <v>0.01</v>
      </c>
      <c r="AC322" s="490">
        <v>0.01</v>
      </c>
      <c r="AD322" s="8"/>
      <c r="AE322" s="491">
        <v>0.04</v>
      </c>
      <c r="AF322" s="491">
        <v>0.04</v>
      </c>
      <c r="AG322" s="491">
        <v>0.04</v>
      </c>
      <c r="AH322" s="8"/>
      <c r="AI322" s="8"/>
      <c r="AJ322" s="8"/>
      <c r="AK322" s="8"/>
    </row>
    <row r="323" ht="13.5" customHeight="1" spans="1:37" x14ac:dyDescent="0.25" outlineLevel="1" collapsed="1">
      <c r="A323" s="257"/>
      <c r="B323" s="8"/>
      <c r="C323" s="130" t="s">
        <v>275</v>
      </c>
      <c r="D323" s="8"/>
      <c r="E323" s="8"/>
      <c r="F323" s="308"/>
      <c r="G323" s="308"/>
      <c r="H323" s="308"/>
      <c r="I323" s="308"/>
      <c r="J323" s="8"/>
      <c r="K323" s="308"/>
      <c r="L323" s="308"/>
      <c r="M323" s="308"/>
      <c r="N323" s="308"/>
      <c r="O323" s="8"/>
      <c r="P323" s="308"/>
      <c r="Q323" s="308"/>
      <c r="R323" s="308"/>
      <c r="S323" s="308"/>
      <c r="T323" s="8"/>
      <c r="U323" s="401">
        <f>U39</f>
        <v>0</v>
      </c>
      <c r="V323" s="401">
        <f>V39</f>
        <v>0</v>
      </c>
      <c r="W323" s="401">
        <f>W39</f>
        <v>0</v>
      </c>
      <c r="X323" s="274">
        <f>-(X321*X322)</f>
        <v>-1.2249999999999999</v>
      </c>
      <c r="Y323" s="8"/>
      <c r="Z323" s="274">
        <f>-(Z321*Z322)</f>
        <v>-2.5</v>
      </c>
      <c r="AA323" s="274">
        <f>-(AA321*AA322)</f>
        <v>0.5</v>
      </c>
      <c r="AB323" s="274">
        <f>-(AB321*AB322)</f>
        <v>6.5</v>
      </c>
      <c r="AC323" s="274">
        <f>-(AC321*AC322)</f>
        <v>12.5</v>
      </c>
      <c r="AD323" s="8"/>
      <c r="AE323" s="275">
        <f>-(AE321*AE322)</f>
        <v>62</v>
      </c>
      <c r="AF323" s="275">
        <f>-(AF321*AF322)</f>
        <v>74</v>
      </c>
      <c r="AG323" s="275">
        <f>-(AG321*AG322)</f>
        <v>98</v>
      </c>
      <c r="AH323" s="8"/>
      <c r="AI323" s="8"/>
      <c r="AJ323" s="8"/>
      <c r="AK323" s="8"/>
    </row>
    <row r="324" ht="13.5" customHeight="1" spans="1:37" x14ac:dyDescent="0.25" outlineLevel="1" collapsed="1">
      <c r="A324" s="257"/>
      <c r="B324" s="8"/>
      <c r="C324" s="8"/>
      <c r="D324" s="8"/>
      <c r="E324" s="8"/>
      <c r="F324" s="308"/>
      <c r="G324" s="308"/>
      <c r="H324" s="308"/>
      <c r="I324" s="308"/>
      <c r="J324" s="8"/>
      <c r="K324" s="308"/>
      <c r="L324" s="308"/>
      <c r="M324" s="308"/>
      <c r="N324" s="308"/>
      <c r="O324" s="8"/>
      <c r="P324" s="308"/>
      <c r="Q324" s="308"/>
      <c r="R324" s="308"/>
      <c r="S324" s="308"/>
      <c r="T324" s="8"/>
      <c r="U324" s="308"/>
      <c r="V324" s="308"/>
      <c r="W324" s="308"/>
      <c r="X324" s="309"/>
      <c r="Y324" s="8"/>
      <c r="Z324" s="309"/>
      <c r="AA324" s="309"/>
      <c r="AB324" s="309"/>
      <c r="AC324" s="309"/>
      <c r="AD324" s="8"/>
      <c r="AE324" s="8"/>
      <c r="AF324" s="8"/>
      <c r="AG324" s="8"/>
      <c r="AH324" s="8"/>
      <c r="AI324" s="8"/>
      <c r="AJ324" s="8"/>
      <c r="AK324" s="8"/>
    </row>
    <row r="325" ht="13.5" customHeight="1" spans="1:37" x14ac:dyDescent="0.25" outlineLevel="1" collapsed="1">
      <c r="A325" s="257"/>
      <c r="B325" s="406"/>
      <c r="C325" s="91" t="s">
        <v>443</v>
      </c>
      <c r="D325" s="91"/>
      <c r="E325" s="91"/>
      <c r="F325" s="493"/>
      <c r="G325" s="493"/>
      <c r="H325" s="493"/>
      <c r="I325" s="493"/>
      <c r="J325" s="91"/>
      <c r="K325" s="493"/>
      <c r="L325" s="493"/>
      <c r="M325" s="493"/>
      <c r="N325" s="493"/>
      <c r="O325" s="91"/>
      <c r="P325" s="493"/>
      <c r="Q325" s="493"/>
      <c r="R325" s="493"/>
      <c r="S325" s="493"/>
      <c r="T325" s="91"/>
      <c r="U325" s="493"/>
      <c r="V325" s="493"/>
      <c r="W325" s="493"/>
      <c r="X325" s="410">
        <f>SUM(X318,X323)</f>
        <v>-1.2249999999999999</v>
      </c>
      <c r="Y325" s="91"/>
      <c r="Z325" s="410">
        <f>SUM(Z318,Z323)</f>
        <v>-2.5</v>
      </c>
      <c r="AA325" s="410">
        <f>SUM(AA318,AA323)</f>
        <v>0.5</v>
      </c>
      <c r="AB325" s="410">
        <f>SUM(AB318,AB323)</f>
        <v>6.5</v>
      </c>
      <c r="AC325" s="410">
        <f>SUM(AC318,AC323)</f>
        <v>12.5</v>
      </c>
      <c r="AD325" s="91"/>
      <c r="AE325" s="409">
        <f>SUM(AE318,AE323)</f>
        <v>62</v>
      </c>
      <c r="AF325" s="409">
        <f>SUM(AF318,AF323)</f>
        <v>74</v>
      </c>
      <c r="AG325" s="428">
        <f>SUM(AG318,AG323)</f>
        <v>98</v>
      </c>
      <c r="AH325" s="275"/>
      <c r="AI325" s="8"/>
      <c r="AJ325" s="8"/>
      <c r="AK325" s="8"/>
    </row>
    <row r="326" ht="13.5" customHeight="1" spans="1:37" x14ac:dyDescent="0.25" outlineLevel="1" collapsed="1">
      <c r="A326" s="257"/>
      <c r="B326" s="8"/>
      <c r="C326" s="8"/>
      <c r="D326" s="8"/>
      <c r="E326" s="8"/>
      <c r="F326" s="308"/>
      <c r="G326" s="308"/>
      <c r="H326" s="308"/>
      <c r="I326" s="308"/>
      <c r="J326" s="8"/>
      <c r="K326" s="308"/>
      <c r="L326" s="308"/>
      <c r="M326" s="308"/>
      <c r="N326" s="308"/>
      <c r="O326" s="8"/>
      <c r="P326" s="308"/>
      <c r="Q326" s="308"/>
      <c r="R326" s="308"/>
      <c r="S326" s="308"/>
      <c r="T326" s="8"/>
      <c r="U326" s="308"/>
      <c r="V326" s="308"/>
      <c r="W326" s="308"/>
      <c r="X326" s="309"/>
      <c r="Y326" s="8"/>
      <c r="Z326" s="309"/>
      <c r="AA326" s="309"/>
      <c r="AB326" s="309"/>
      <c r="AC326" s="309"/>
      <c r="AD326" s="8"/>
      <c r="AE326" s="8"/>
      <c r="AF326" s="8"/>
      <c r="AG326" s="8"/>
      <c r="AH326" s="8"/>
      <c r="AI326" s="8"/>
      <c r="AJ326" s="8"/>
      <c r="AK326" s="8"/>
    </row>
    <row r="327" ht="13.5" customHeight="1" spans="1:37" x14ac:dyDescent="0.25" outlineLevel="1" collapsed="1">
      <c r="A327" s="257"/>
      <c r="B327" s="8"/>
      <c r="C327" s="122" t="s">
        <v>444</v>
      </c>
      <c r="D327" s="8"/>
      <c r="E327" s="8"/>
      <c r="F327" s="308"/>
      <c r="G327" s="308"/>
      <c r="H327" s="308"/>
      <c r="I327" s="308"/>
      <c r="J327" s="8"/>
      <c r="K327" s="308"/>
      <c r="L327" s="308"/>
      <c r="M327" s="308"/>
      <c r="N327" s="308"/>
      <c r="O327" s="8"/>
      <c r="P327" s="308"/>
      <c r="Q327" s="308"/>
      <c r="R327" s="308"/>
      <c r="S327" s="308"/>
      <c r="T327" s="8"/>
      <c r="U327" s="308"/>
      <c r="V327" s="308"/>
      <c r="W327" s="308"/>
      <c r="X327" s="309"/>
      <c r="Y327" s="8"/>
      <c r="Z327" s="309"/>
      <c r="AA327" s="309"/>
      <c r="AB327" s="309"/>
      <c r="AC327" s="309"/>
      <c r="AD327" s="8"/>
      <c r="AE327" s="8"/>
      <c r="AF327" s="8"/>
      <c r="AG327" s="8"/>
      <c r="AH327" s="8"/>
      <c r="AI327" s="8"/>
      <c r="AJ327" s="8"/>
      <c r="AK327" s="8"/>
    </row>
    <row r="328" ht="13.5" customHeight="1" spans="1:37" x14ac:dyDescent="0.25" outlineLevel="1" collapsed="1">
      <c r="A328" s="257"/>
      <c r="B328" s="8"/>
      <c r="C328" s="130" t="s">
        <v>440</v>
      </c>
      <c r="D328" s="8"/>
      <c r="E328" s="8"/>
      <c r="F328" s="308"/>
      <c r="G328" s="308"/>
      <c r="H328" s="308"/>
      <c r="I328" s="308"/>
      <c r="J328" s="8"/>
      <c r="K328" s="308"/>
      <c r="L328" s="308"/>
      <c r="M328" s="308"/>
      <c r="N328" s="308"/>
      <c r="O328" s="8"/>
      <c r="P328" s="308"/>
      <c r="Q328" s="308"/>
      <c r="R328" s="308"/>
      <c r="S328" s="308"/>
      <c r="T328" s="8"/>
      <c r="U328" s="308"/>
      <c r="V328" s="308"/>
      <c r="W328" s="308"/>
      <c r="X328" s="349">
        <v>0</v>
      </c>
      <c r="Y328" s="442"/>
      <c r="Z328" s="349">
        <v>0</v>
      </c>
      <c r="AA328" s="349">
        <v>0</v>
      </c>
      <c r="AB328" s="349">
        <v>0</v>
      </c>
      <c r="AC328" s="349">
        <v>0</v>
      </c>
      <c r="AD328" s="8"/>
      <c r="AE328" s="494">
        <v>0</v>
      </c>
      <c r="AF328" s="494">
        <v>0</v>
      </c>
      <c r="AG328" s="494">
        <v>0</v>
      </c>
      <c r="AH328" s="8"/>
      <c r="AI328" s="8"/>
      <c r="AJ328" s="8"/>
      <c r="AK328" s="8"/>
    </row>
    <row r="329" ht="13.5" customHeight="1" spans="1:37" x14ac:dyDescent="0.25" outlineLevel="1" collapsed="1">
      <c r="A329" s="257"/>
      <c r="B329" s="8"/>
      <c r="C329" s="130" t="s">
        <v>441</v>
      </c>
      <c r="D329" s="8"/>
      <c r="E329" s="8"/>
      <c r="F329" s="308"/>
      <c r="G329" s="308"/>
      <c r="H329" s="308"/>
      <c r="I329" s="308"/>
      <c r="J329" s="8"/>
      <c r="K329" s="308"/>
      <c r="L329" s="308"/>
      <c r="M329" s="308"/>
      <c r="N329" s="308"/>
      <c r="O329" s="8"/>
      <c r="P329" s="308"/>
      <c r="Q329" s="308"/>
      <c r="R329" s="308"/>
      <c r="S329" s="308"/>
      <c r="T329" s="8"/>
      <c r="U329" s="308"/>
      <c r="V329" s="308"/>
      <c r="W329" s="308"/>
      <c r="X329" s="490">
        <f>W329</f>
        <v>0</v>
      </c>
      <c r="Y329" s="8"/>
      <c r="Z329" s="490">
        <f>X329</f>
        <v>0</v>
      </c>
      <c r="AA329" s="490">
        <f>Z329</f>
        <v>0</v>
      </c>
      <c r="AB329" s="490">
        <f>AA329</f>
        <v>0</v>
      </c>
      <c r="AC329" s="490">
        <f>AB329</f>
        <v>0</v>
      </c>
      <c r="AD329" s="8"/>
      <c r="AE329" s="491">
        <f>AC329</f>
        <v>0</v>
      </c>
      <c r="AF329" s="491">
        <f>AE329</f>
        <v>0</v>
      </c>
      <c r="AG329" s="491">
        <f>AF329</f>
        <v>0</v>
      </c>
      <c r="AH329" s="8"/>
      <c r="AI329" s="8"/>
      <c r="AJ329" s="8"/>
      <c r="AK329" s="8"/>
    </row>
    <row r="330" ht="13.5" customHeight="1" spans="1:37" x14ac:dyDescent="0.25" outlineLevel="1" collapsed="1">
      <c r="A330" s="257"/>
      <c r="B330" s="8"/>
      <c r="C330" s="130" t="s">
        <v>274</v>
      </c>
      <c r="D330" s="8"/>
      <c r="E330" s="8"/>
      <c r="F330" s="308"/>
      <c r="G330" s="308"/>
      <c r="H330" s="308"/>
      <c r="I330" s="308"/>
      <c r="J330" s="8"/>
      <c r="K330" s="308"/>
      <c r="L330" s="308"/>
      <c r="M330" s="308"/>
      <c r="N330" s="308"/>
      <c r="O330" s="8"/>
      <c r="P330" s="308"/>
      <c r="Q330" s="308"/>
      <c r="R330" s="308"/>
      <c r="S330" s="308"/>
      <c r="T330" s="8"/>
      <c r="U330" s="308"/>
      <c r="V330" s="308"/>
      <c r="W330" s="308"/>
      <c r="X330" s="274">
        <f>X328*X329</f>
        <v>0</v>
      </c>
      <c r="Y330" s="8"/>
      <c r="Z330" s="274">
        <f>Z328*Z329</f>
        <v>0</v>
      </c>
      <c r="AA330" s="274">
        <f>AA328*AA329</f>
        <v>0</v>
      </c>
      <c r="AB330" s="274">
        <f>AB328*AB329</f>
        <v>0</v>
      </c>
      <c r="AC330" s="274">
        <f>AC328*AC329</f>
        <v>0</v>
      </c>
      <c r="AD330" s="8"/>
      <c r="AE330" s="275">
        <f>AE328*AE329</f>
        <v>0</v>
      </c>
      <c r="AF330" s="275">
        <f>AF328*AF329</f>
        <v>0</v>
      </c>
      <c r="AG330" s="275">
        <f>AG328*AG329</f>
        <v>0</v>
      </c>
      <c r="AH330" s="8"/>
      <c r="AI330" s="8"/>
      <c r="AJ330" s="8"/>
      <c r="AK330" s="8"/>
    </row>
    <row r="331" ht="13.5" customHeight="1" spans="1:37" x14ac:dyDescent="0.25" outlineLevel="1" collapsed="1">
      <c r="A331" s="257"/>
      <c r="B331" s="8"/>
      <c r="C331" s="8"/>
      <c r="D331" s="8"/>
      <c r="E331" s="8"/>
      <c r="F331" s="308"/>
      <c r="G331" s="308"/>
      <c r="H331" s="308"/>
      <c r="I331" s="308"/>
      <c r="J331" s="8"/>
      <c r="K331" s="308"/>
      <c r="L331" s="308"/>
      <c r="M331" s="308"/>
      <c r="N331" s="308"/>
      <c r="O331" s="8"/>
      <c r="P331" s="308"/>
      <c r="Q331" s="308"/>
      <c r="R331" s="308"/>
      <c r="S331" s="308"/>
      <c r="T331" s="8"/>
      <c r="U331" s="308"/>
      <c r="V331" s="308"/>
      <c r="W331" s="308"/>
      <c r="X331" s="309"/>
      <c r="Y331" s="8"/>
      <c r="Z331" s="309"/>
      <c r="AA331" s="309"/>
      <c r="AB331" s="309"/>
      <c r="AC331" s="309"/>
      <c r="AD331" s="8"/>
      <c r="AE331" s="8"/>
      <c r="AF331" s="8"/>
      <c r="AG331" s="8"/>
      <c r="AH331" s="8"/>
      <c r="AI331" s="8"/>
      <c r="AJ331" s="8"/>
      <c r="AK331" s="8"/>
    </row>
    <row r="332" ht="13.5" customHeight="1" spans="1:37" x14ac:dyDescent="0.25" outlineLevel="1" collapsed="1">
      <c r="A332" s="257"/>
      <c r="B332" s="406"/>
      <c r="C332" s="91" t="s">
        <v>445</v>
      </c>
      <c r="D332" s="91"/>
      <c r="E332" s="91"/>
      <c r="F332" s="493"/>
      <c r="G332" s="493"/>
      <c r="H332" s="493"/>
      <c r="I332" s="493"/>
      <c r="J332" s="91"/>
      <c r="K332" s="493"/>
      <c r="L332" s="493"/>
      <c r="M332" s="493"/>
      <c r="N332" s="493"/>
      <c r="O332" s="91"/>
      <c r="P332" s="493"/>
      <c r="Q332" s="493"/>
      <c r="R332" s="493"/>
      <c r="S332" s="493"/>
      <c r="T332" s="91"/>
      <c r="U332" s="493"/>
      <c r="V332" s="493"/>
      <c r="W332" s="493"/>
      <c r="X332" s="410">
        <f>X330</f>
        <v>0</v>
      </c>
      <c r="Y332" s="91"/>
      <c r="Z332" s="410">
        <f>Z330</f>
        <v>0</v>
      </c>
      <c r="AA332" s="410">
        <f>AA330</f>
        <v>0</v>
      </c>
      <c r="AB332" s="410">
        <f>AB330</f>
        <v>0</v>
      </c>
      <c r="AC332" s="410">
        <f>AC330</f>
        <v>0</v>
      </c>
      <c r="AD332" s="91"/>
      <c r="AE332" s="409">
        <f>AE330</f>
        <v>0</v>
      </c>
      <c r="AF332" s="409">
        <f>AF330</f>
        <v>0</v>
      </c>
      <c r="AG332" s="428">
        <f>AG330</f>
        <v>0</v>
      </c>
      <c r="AH332" s="275"/>
      <c r="AI332" s="8"/>
      <c r="AJ332" s="8"/>
      <c r="AK332" s="8"/>
    </row>
    <row r="333" ht="13.5" customHeight="1" spans="1:37" x14ac:dyDescent="0.25">
      <c r="A333" s="257"/>
      <c r="B333" s="8"/>
      <c r="C333" s="8"/>
      <c r="D333" s="8"/>
      <c r="E333" s="8"/>
      <c r="F333" s="308"/>
      <c r="G333" s="308"/>
      <c r="H333" s="308"/>
      <c r="I333" s="308"/>
      <c r="J333" s="8"/>
      <c r="K333" s="308"/>
      <c r="L333" s="308"/>
      <c r="M333" s="308"/>
      <c r="N333" s="308"/>
      <c r="O333" s="8"/>
      <c r="P333" s="308"/>
      <c r="Q333" s="308"/>
      <c r="R333" s="308"/>
      <c r="S333" s="308"/>
      <c r="T333" s="8"/>
      <c r="U333" s="308"/>
      <c r="V333" s="308"/>
      <c r="W333" s="308"/>
      <c r="X333" s="309"/>
      <c r="Y333" s="8"/>
      <c r="Z333" s="309"/>
      <c r="AA333" s="309"/>
      <c r="AB333" s="309"/>
      <c r="AC333" s="309"/>
      <c r="AD333" s="8"/>
      <c r="AE333" s="8"/>
      <c r="AF333" s="8"/>
      <c r="AG333" s="8"/>
      <c r="AH333" s="8"/>
      <c r="AI333" s="8"/>
      <c r="AJ333" s="8"/>
      <c r="AK333" s="8"/>
    </row>
    <row r="334" ht="13.5" customHeight="1" spans="1:37" x14ac:dyDescent="0.25">
      <c r="A334" s="257" t="s">
        <v>3</v>
      </c>
      <c r="B334" s="40" t="s">
        <v>3</v>
      </c>
      <c r="C334" s="53" t="s">
        <v>260</v>
      </c>
      <c r="D334" s="11"/>
      <c r="E334" s="11"/>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57" t="s">
        <v>3</v>
      </c>
      <c r="AI334" s="8"/>
      <c r="AJ334" s="8"/>
      <c r="AK334" s="8"/>
    </row>
    <row r="335" ht="13.5" customHeight="1" spans="1:37" x14ac:dyDescent="0.25">
      <c r="A335" s="257"/>
      <c r="B335" s="257"/>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3.5" customHeight="1" spans="1:37" x14ac:dyDescent="0.25">
      <c r="A336" s="257"/>
      <c r="B336" s="257"/>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3.5" customHeight="1" spans="1:37" x14ac:dyDescent="0.25">
      <c r="A337" s="257"/>
      <c r="B337" s="257"/>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3.5" customHeight="1" spans="1:37" x14ac:dyDescent="0.25">
      <c r="A338" s="257" t="s">
        <v>3</v>
      </c>
      <c r="B338" s="257"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3.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row r="1001" ht="13.5" customHeight="1" spans="1:37" x14ac:dyDescent="0.25">
      <c r="A1001" s="33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row>
    <row r="1002" ht="13.5" customHeight="1" spans="1:37" x14ac:dyDescent="0.25">
      <c r="A1002" s="33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row>
    <row r="1003" ht="13.5" customHeight="1" spans="1:37" x14ac:dyDescent="0.25">
      <c r="A1003" s="33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row>
  </sheetData>
  <conditionalFormatting sqref="C77:AG106">
    <cfRule type="expression" dxfId="19" priority="2">
      <formula>$C$5="Report"</formula>
    </cfRule>
  </conditionalFormatting>
  <conditionalFormatting sqref="F28:AG33 C28:E63 C123:AG161 F35:AG63">
    <cfRule type="expression" dxfId="20" priority="1">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1"/>
  <sheetViews>
    <sheetView workbookViewId="0" showGridLines="0" zoomScale="80" zoomScaleNormal="80">
      <selection activeCell="S54" sqref="S54"/>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38" t="s">
        <v>446</v>
      </c>
      <c r="B1" s="1"/>
      <c r="C1" s="2" t="str">
        <f>Company_Name&amp;" - "&amp;MID(CELL("filename",A1),FIND("]",CELL("filename",A1))+1,255)&amp;": "&amp;Case_Scenario&amp;" Case"</f>
        <v>Republic Services, Inc. - Segment Analysis: Base Case</v>
      </c>
      <c r="D1" s="1"/>
      <c r="E1" s="1"/>
      <c r="G1" s="1"/>
      <c r="H1" s="1"/>
      <c r="I1" s="1"/>
      <c r="J1" s="1"/>
      <c r="K1" s="1"/>
      <c r="L1" s="1"/>
      <c r="M1" s="1"/>
      <c r="N1" s="1"/>
      <c r="O1" s="1"/>
      <c r="P1" s="1"/>
      <c r="Q1" s="1"/>
      <c r="R1" s="1"/>
      <c r="S1" s="1"/>
      <c r="T1" s="1"/>
      <c r="U1" s="1"/>
      <c r="V1" s="1"/>
      <c r="W1" s="1"/>
      <c r="X1" s="1"/>
      <c r="Y1" s="1"/>
      <c r="Z1" s="1"/>
      <c r="AA1" s="1"/>
      <c r="AB1" s="1"/>
      <c r="AC1" s="1"/>
      <c r="AD1" s="1"/>
      <c r="AE1" s="1"/>
      <c r="AF1" s="1"/>
      <c r="AG1" s="1"/>
    </row>
    <row r="2" ht="14.25" customHeight="1"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39"/>
      <c r="B3" s="4"/>
      <c r="C3" s="296"/>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39"/>
      <c r="B4" s="4"/>
      <c r="C4" s="296"/>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45" t="s">
        <v>41</v>
      </c>
      <c r="D5" s="390"/>
      <c r="E5" s="390"/>
      <c r="F5" s="346">
        <f>Model!F65</f>
        <v>0</v>
      </c>
      <c r="G5" s="346">
        <f>Model!G65</f>
        <v>0</v>
      </c>
      <c r="H5" s="346">
        <f>Model!H65</f>
        <v>0</v>
      </c>
      <c r="I5" s="346">
        <f>Model!I65</f>
        <v>0</v>
      </c>
      <c r="J5" s="346">
        <f>Model!J65</f>
        <v>2023</v>
      </c>
      <c r="K5" s="346">
        <f>Model!K65</f>
        <v>0</v>
      </c>
      <c r="L5" s="346">
        <f>Model!L65</f>
        <v>0</v>
      </c>
      <c r="M5" s="346">
        <f>Model!M65</f>
        <v>0</v>
      </c>
      <c r="N5" s="346">
        <f>Model!N65</f>
        <v>0</v>
      </c>
      <c r="O5" s="346">
        <f>Model!O65</f>
        <v>2024</v>
      </c>
      <c r="P5" s="346">
        <f>Model!P65</f>
        <v>0</v>
      </c>
      <c r="Q5" s="346">
        <f>Model!Q65</f>
        <v>0</v>
      </c>
      <c r="R5" s="346">
        <f>Model!R65</f>
        <v>0</v>
      </c>
      <c r="S5" s="346">
        <f>Model!S65</f>
        <v>0</v>
      </c>
      <c r="T5" s="346">
        <f>Model!T65</f>
        <v>2025</v>
      </c>
      <c r="U5" s="346" t="str">
        <f>Model!U65</f>
        <v>1Q26e</v>
      </c>
      <c r="V5" s="346" t="str">
        <f>Model!V65</f>
        <v>2Q26e</v>
      </c>
      <c r="W5" s="346" t="str">
        <f>Model!W65</f>
        <v>3Q26</v>
      </c>
      <c r="X5" s="346" t="s">
        <v>447</v>
      </c>
      <c r="Y5" s="346" t="str">
        <f>Model!Y65</f>
        <v>2026e</v>
      </c>
      <c r="Z5" s="346" t="str">
        <f>Model!Z65</f>
        <v>1Q27e</v>
      </c>
      <c r="AA5" s="346" t="str">
        <f>Model!AA65</f>
        <v>2Q27e</v>
      </c>
      <c r="AB5" s="346" t="str">
        <f>Model!AB65</f>
        <v>3Q27e</v>
      </c>
      <c r="AC5" s="346" t="str">
        <f>Model!AC65</f>
        <v>4Q27e</v>
      </c>
      <c r="AD5" s="346" t="str">
        <f>Model!AD65</f>
        <v>2027e</v>
      </c>
      <c r="AE5" s="346" t="str">
        <f>Model!AE65</f>
        <v>2028e</v>
      </c>
      <c r="AF5" s="346" t="str">
        <f>Model!AF65</f>
        <v>2029e</v>
      </c>
      <c r="AG5" s="346" t="str">
        <f>Model!AG65</f>
        <v>2030e</v>
      </c>
    </row>
    <row r="6" ht="14.25" customHeight="1"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16"/>
    </row>
    <row r="7" ht="14.25" customHeight="1" spans="1:33" x14ac:dyDescent="0.25">
      <c r="B7" s="495"/>
      <c r="C7" s="496"/>
      <c r="D7" s="496"/>
      <c r="E7" s="496"/>
      <c r="F7" s="312"/>
      <c r="G7" s="312"/>
      <c r="H7" s="312"/>
      <c r="I7" s="312"/>
      <c r="J7" s="496"/>
      <c r="K7" s="312"/>
      <c r="L7" s="312"/>
      <c r="M7" s="312"/>
      <c r="N7" s="312"/>
      <c r="O7" s="496"/>
      <c r="P7" s="312"/>
      <c r="Q7" s="312"/>
      <c r="R7" s="312"/>
      <c r="S7" s="312"/>
      <c r="T7" s="496"/>
      <c r="U7" s="315"/>
      <c r="V7" s="315"/>
      <c r="W7" s="315"/>
      <c r="X7" s="315"/>
      <c r="Y7" s="496"/>
      <c r="Z7" s="315"/>
      <c r="AA7" s="315"/>
      <c r="AB7" s="315"/>
      <c r="AC7" s="315"/>
      <c r="AD7" s="496"/>
      <c r="AE7" s="496"/>
      <c r="AF7" s="496"/>
      <c r="AG7" s="496"/>
    </row>
    <row r="8" ht="14.25" customHeight="1" spans="1:33" x14ac:dyDescent="0.25">
      <c r="C8" s="8" t="s">
        <v>245</v>
      </c>
      <c r="D8" s="8"/>
      <c r="E8" s="8"/>
      <c r="F8" s="310">
        <f>SUM(F9:F14)</f>
        <v>4147.2</v>
      </c>
      <c r="G8" s="310">
        <f>SUM(G9:G14)</f>
        <v>4321.4</v>
      </c>
      <c r="H8" s="310">
        <f>SUM(H9:H14)</f>
        <v>4414.200000000001</v>
      </c>
      <c r="I8" s="310">
        <f>SUM(I9:I14)</f>
        <v>4396.3</v>
      </c>
      <c r="J8" s="280">
        <f t="shared" ref="J8:J13" si="0">SUM(F8:I8)</f>
        <v>17279.1</v>
      </c>
      <c r="K8" s="310">
        <f>SUM(K9:K14)</f>
        <v>4439</v>
      </c>
      <c r="L8" s="310">
        <f>SUM(L9:L14)</f>
        <v>4663</v>
      </c>
      <c r="M8" s="310">
        <f>SUM(M9:M14)</f>
        <v>4680</v>
      </c>
      <c r="N8" s="310">
        <f>SUM(N9:N14)</f>
        <v>4634</v>
      </c>
      <c r="O8" s="280">
        <f t="shared" ref="O8:O13" si="1">SUM(K8:N8)</f>
        <v>18416</v>
      </c>
      <c r="P8" s="310">
        <f>SUM(P9:P14)</f>
        <v>4593</v>
      </c>
      <c r="Q8" s="310">
        <f>SUM(Q9:Q14)</f>
        <v>4882</v>
      </c>
      <c r="R8" s="310">
        <f>SUM(R9:R14)</f>
        <v>4827</v>
      </c>
      <c r="S8" s="310">
        <f>SUM(S9:S14)</f>
        <v>4727</v>
      </c>
      <c r="T8" s="280">
        <f t="shared" ref="T8:T13" si="2">SUM(P8:S8)</f>
        <v>19029</v>
      </c>
      <c r="U8" s="279">
        <f>SUM(U9:U14)</f>
        <v>4152.631</v>
      </c>
      <c r="V8" s="279">
        <f>SUM(V9:V14)</f>
        <v>4379.486</v>
      </c>
      <c r="W8" s="279">
        <f>SUM(W9:W14)</f>
        <v>4358.186</v>
      </c>
      <c r="X8" s="279">
        <v>4435.81544325</v>
      </c>
      <c r="Y8" s="280">
        <f t="shared" ref="Y8:Y14" si="3">SUM(U8:X8)</f>
        <v>17326.11844325</v>
      </c>
      <c r="Z8" s="279">
        <f>SUM(Z9:Z14)</f>
        <v>4358.665169</v>
      </c>
      <c r="AA8" s="279">
        <f>SUM(AA9:AA14)</f>
        <v>4593.347566</v>
      </c>
      <c r="AB8" s="279">
        <f>SUM(AB9:AB14)</f>
        <v>4573.971099999999</v>
      </c>
      <c r="AC8" s="279">
        <f>SUM(AC9:AC14)</f>
        <v>4522.678832</v>
      </c>
      <c r="AD8" s="280">
        <f t="shared" ref="AD8:AD14" si="4">SUM(Z8:AC8)</f>
        <v>18048.662666999997</v>
      </c>
      <c r="AE8" s="280">
        <f>SUM(AE9:AE14)</f>
        <v>18921.749183770997</v>
      </c>
      <c r="AF8" s="280">
        <f>SUM(AF9:AF14)</f>
        <v>19882.732929281065</v>
      </c>
      <c r="AG8" s="280">
        <f>SUM(AG9:AG14)</f>
        <v>20839.078807590817</v>
      </c>
    </row>
    <row r="9" ht="14.25" customHeight="1" spans="1:33" x14ac:dyDescent="0.25">
      <c r="C9" s="130" t="str">
        <f t="shared" ref="C9:C14" si="5">C17&amp;" Revenue"</f>
        <v>Collection Revenue</v>
      </c>
      <c r="D9" s="8"/>
      <c r="E9" s="8"/>
      <c r="F9" s="497">
        <v>0</v>
      </c>
      <c r="G9" s="497">
        <v>0</v>
      </c>
      <c r="H9" s="497">
        <v>0</v>
      </c>
      <c r="I9" s="497">
        <v>0</v>
      </c>
      <c r="J9" s="498">
        <f t="shared" si="0"/>
        <v>0</v>
      </c>
      <c r="K9" s="497">
        <v>0</v>
      </c>
      <c r="L9" s="497">
        <v>0</v>
      </c>
      <c r="M9" s="497">
        <v>0</v>
      </c>
      <c r="N9" s="497">
        <v>0</v>
      </c>
      <c r="O9" s="498">
        <f t="shared" si="1"/>
        <v>0</v>
      </c>
      <c r="P9" s="497">
        <v>0</v>
      </c>
      <c r="Q9" s="497">
        <v>0</v>
      </c>
      <c r="R9" s="497">
        <v>0</v>
      </c>
      <c r="S9" s="497">
        <v>0</v>
      </c>
      <c r="T9" s="498">
        <f t="shared" si="2"/>
        <v>0</v>
      </c>
      <c r="U9" s="499">
        <f>'Revenue Build'!U32</f>
        <v>2841.748</v>
      </c>
      <c r="V9" s="499">
        <f>'Revenue Build'!V32</f>
        <v>2932.058</v>
      </c>
      <c r="W9" s="499">
        <f>'Revenue Build'!W32</f>
        <v>2945.5649999999996</v>
      </c>
      <c r="X9" s="499">
        <v>3027.6708</v>
      </c>
      <c r="Y9" s="498">
        <f t="shared" si="3"/>
        <v>11747.041799999999</v>
      </c>
      <c r="Z9" s="499">
        <f>'Revenue Build'!Z32</f>
        <v>2983.8354000000004</v>
      </c>
      <c r="AA9" s="499">
        <f>'Revenue Build'!AA32</f>
        <v>3075.728842</v>
      </c>
      <c r="AB9" s="499">
        <f>'Revenue Build'!AB32</f>
        <v>3095.7888149999994</v>
      </c>
      <c r="AC9" s="499">
        <f>'Revenue Build'!AC32</f>
        <v>3105.514769</v>
      </c>
      <c r="AD9" s="498">
        <f t="shared" si="4"/>
        <v>12260.867826</v>
      </c>
      <c r="AE9" s="500">
        <f>'Revenue Build'!AE32</f>
        <v>12849.389481648</v>
      </c>
      <c r="AF9" s="500">
        <f>'Revenue Build'!AF32</f>
        <v>13504.708345212048</v>
      </c>
      <c r="AG9" s="500">
        <f>'Revenue Build'!AG32</f>
        <v>14098.915512401378</v>
      </c>
    </row>
    <row r="10" ht="14.25" customHeight="1" spans="1:33" x14ac:dyDescent="0.25">
      <c r="C10" s="130" t="str">
        <f t="shared" si="5"/>
        <v>Landfill Revenue</v>
      </c>
      <c r="D10" s="8"/>
      <c r="E10" s="8"/>
      <c r="F10" s="497">
        <v>392.6</v>
      </c>
      <c r="G10" s="497">
        <v>431</v>
      </c>
      <c r="H10" s="497">
        <v>436.3</v>
      </c>
      <c r="I10" s="497">
        <v>419.5</v>
      </c>
      <c r="J10" s="498">
        <f t="shared" si="0"/>
        <v>1679.4</v>
      </c>
      <c r="K10" s="497">
        <v>404.4</v>
      </c>
      <c r="L10" s="497">
        <v>440.2</v>
      </c>
      <c r="M10" s="497">
        <v>452.8</v>
      </c>
      <c r="N10" s="497">
        <v>443.6</v>
      </c>
      <c r="O10" s="498">
        <f t="shared" si="1"/>
        <v>1741</v>
      </c>
      <c r="P10" s="497">
        <v>421</v>
      </c>
      <c r="Q10" s="497">
        <v>516</v>
      </c>
      <c r="R10" s="497">
        <v>516</v>
      </c>
      <c r="S10" s="497">
        <v>467</v>
      </c>
      <c r="T10" s="498">
        <f t="shared" si="2"/>
        <v>1920</v>
      </c>
      <c r="U10" s="499">
        <f>'Revenue Build'!U35</f>
        <v>439.10299999999995</v>
      </c>
      <c r="V10" s="499">
        <f>'Revenue Build'!V35</f>
        <v>519.612</v>
      </c>
      <c r="W10" s="499">
        <f>'Revenue Build'!W35</f>
        <v>520.6439999999999</v>
      </c>
      <c r="X10" s="499">
        <v>498.88345324999995</v>
      </c>
      <c r="Y10" s="498">
        <f t="shared" si="3"/>
        <v>1978.24245325</v>
      </c>
      <c r="Z10" s="499">
        <f>'Revenue Build'!Z35</f>
        <v>459.74084099999993</v>
      </c>
      <c r="AA10" s="499">
        <f>'Revenue Build'!AA35</f>
        <v>546.6318239999999</v>
      </c>
      <c r="AB10" s="499">
        <f>'Revenue Build'!AB35</f>
        <v>545.6349119999999</v>
      </c>
      <c r="AC10" s="499">
        <f>'Revenue Build'!AC35</f>
        <v>510.9517049999999</v>
      </c>
      <c r="AD10" s="498">
        <f t="shared" si="4"/>
        <v>2062.959282</v>
      </c>
      <c r="AE10" s="500">
        <f>'Revenue Build'!AE35</f>
        <v>2180.547961074</v>
      </c>
      <c r="AF10" s="500">
        <f>'Revenue Build'!AF35</f>
        <v>2302.658646894144</v>
      </c>
      <c r="AG10" s="500">
        <f>'Revenue Build'!AG35</f>
        <v>2427.002213826428</v>
      </c>
    </row>
    <row r="11" ht="14.25" customHeight="1" spans="1:33" x14ac:dyDescent="0.25">
      <c r="C11" s="130" t="str">
        <f t="shared" si="5"/>
        <v>Environmental solutions Revenue</v>
      </c>
      <c r="D11" s="8"/>
      <c r="E11" s="8"/>
      <c r="F11" s="497">
        <v>408.3</v>
      </c>
      <c r="G11" s="497">
        <v>398.3</v>
      </c>
      <c r="H11" s="497">
        <v>404.8</v>
      </c>
      <c r="I11" s="497">
        <v>413.5</v>
      </c>
      <c r="J11" s="498">
        <f t="shared" si="0"/>
        <v>1624.9</v>
      </c>
      <c r="K11" s="497">
        <v>423.3</v>
      </c>
      <c r="L11" s="497">
        <v>472.6</v>
      </c>
      <c r="M11" s="497">
        <v>464.7</v>
      </c>
      <c r="N11" s="497">
        <v>482.4</v>
      </c>
      <c r="O11" s="498">
        <f t="shared" si="1"/>
        <v>1843</v>
      </c>
      <c r="P11" s="497">
        <v>449</v>
      </c>
      <c r="Q11" s="497">
        <v>462</v>
      </c>
      <c r="R11" s="497">
        <v>433</v>
      </c>
      <c r="S11" s="497">
        <v>422</v>
      </c>
      <c r="T11" s="498">
        <f t="shared" si="2"/>
        <v>1766</v>
      </c>
      <c r="U11" s="499">
        <f>'Revenue Build'!U38</f>
        <v>463.368</v>
      </c>
      <c r="V11" s="499">
        <f>'Revenue Build'!V38</f>
        <v>478.16999999999996</v>
      </c>
      <c r="W11" s="499">
        <f>'Revenue Build'!W38</f>
        <v>449.02099999999996</v>
      </c>
      <c r="X11" s="499">
        <v>486.74769999999995</v>
      </c>
      <c r="Y11" s="498">
        <f t="shared" si="3"/>
        <v>1877.3066999999999</v>
      </c>
      <c r="Z11" s="499">
        <f>'Revenue Build'!Z38</f>
        <v>489.31660800000003</v>
      </c>
      <c r="AA11" s="499">
        <f>'Revenue Build'!AA38</f>
        <v>502.55666999999994</v>
      </c>
      <c r="AB11" s="499">
        <f>'Revenue Build'!AB38</f>
        <v>471.02302899999995</v>
      </c>
      <c r="AC11" s="499">
        <f>'Revenue Build'!AC38</f>
        <v>463.926544</v>
      </c>
      <c r="AD11" s="498">
        <f t="shared" si="4"/>
        <v>1926.822851</v>
      </c>
      <c r="AE11" s="500">
        <f>'Revenue Build'!AE38</f>
        <v>2025.0908164009998</v>
      </c>
      <c r="AF11" s="500">
        <f>'Revenue Build'!AF38</f>
        <v>2138.495902119456</v>
      </c>
      <c r="AG11" s="500">
        <f>'Revenue Build'!AG38</f>
        <v>2288.190615267818</v>
      </c>
    </row>
    <row r="12" ht="14.25" customHeight="1" spans="1:33" x14ac:dyDescent="0.25">
      <c r="C12" s="130" t="str">
        <f t="shared" si="5"/>
        <v>Transfer Revenue</v>
      </c>
      <c r="D12" s="8"/>
      <c r="E12" s="8"/>
      <c r="F12" s="497">
        <v>173.3</v>
      </c>
      <c r="G12" s="497">
        <v>197.3</v>
      </c>
      <c r="H12" s="497">
        <v>206.2</v>
      </c>
      <c r="I12" s="497">
        <v>188.6</v>
      </c>
      <c r="J12" s="498">
        <f t="shared" si="0"/>
        <v>765.4</v>
      </c>
      <c r="K12" s="497">
        <v>182.8</v>
      </c>
      <c r="L12" s="497">
        <v>208.2</v>
      </c>
      <c r="M12" s="497">
        <v>211.6</v>
      </c>
      <c r="N12" s="497">
        <v>202.4</v>
      </c>
      <c r="O12" s="498">
        <f t="shared" si="1"/>
        <v>805</v>
      </c>
      <c r="P12" s="497">
        <v>188</v>
      </c>
      <c r="Q12" s="497">
        <v>221</v>
      </c>
      <c r="R12" s="497">
        <v>224</v>
      </c>
      <c r="S12" s="497">
        <v>215</v>
      </c>
      <c r="T12" s="498">
        <f t="shared" si="2"/>
        <v>848</v>
      </c>
      <c r="U12" s="499">
        <f>'Revenue Build'!U41</f>
        <v>196.45999999999998</v>
      </c>
      <c r="V12" s="499">
        <f>'Revenue Build'!V41</f>
        <v>230.72400000000002</v>
      </c>
      <c r="W12" s="499">
        <f>'Revenue Build'!W41</f>
        <v>233.856</v>
      </c>
      <c r="X12" s="499">
        <v>223.57608</v>
      </c>
      <c r="Y12" s="498">
        <f t="shared" si="3"/>
        <v>884.61608</v>
      </c>
      <c r="Z12" s="499">
        <f>'Revenue Build'!Z41</f>
        <v>207.46176</v>
      </c>
      <c r="AA12" s="499">
        <f>'Revenue Build'!AA41</f>
        <v>242.72164800000002</v>
      </c>
      <c r="AB12" s="499">
        <f>'Revenue Build'!AB41</f>
        <v>245.31494399999997</v>
      </c>
      <c r="AC12" s="499">
        <f>'Revenue Build'!AC41</f>
        <v>235.48581399999998</v>
      </c>
      <c r="AD12" s="498">
        <f t="shared" si="4"/>
        <v>930.984166</v>
      </c>
      <c r="AE12" s="500">
        <f>'Revenue Build'!AE41</f>
        <v>971.947469304</v>
      </c>
      <c r="AF12" s="500">
        <f>'Revenue Build'!AF41</f>
        <v>1021.516790238504</v>
      </c>
      <c r="AG12" s="500">
        <f>'Revenue Build'!AG41</f>
        <v>1050.119260365182</v>
      </c>
    </row>
    <row r="13" ht="14.25" customHeight="1" spans="1:33" x14ac:dyDescent="0.25">
      <c r="C13" s="130" t="str">
        <f t="shared" si="5"/>
        <v>Other Revenue</v>
      </c>
      <c r="D13" s="8"/>
      <c r="E13" s="8"/>
      <c r="F13" s="497">
        <v>3173</v>
      </c>
      <c r="G13" s="497">
        <v>3294.8</v>
      </c>
      <c r="H13" s="497">
        <v>3366.9000000000005</v>
      </c>
      <c r="I13" s="497">
        <v>3374.7000000000003</v>
      </c>
      <c r="J13" s="498">
        <f t="shared" si="0"/>
        <v>13209.400000000001</v>
      </c>
      <c r="K13" s="497">
        <v>3428.4999999999995</v>
      </c>
      <c r="L13" s="497">
        <v>3542</v>
      </c>
      <c r="M13" s="497">
        <v>3550.9000000000005</v>
      </c>
      <c r="N13" s="497">
        <v>3505.6000000000004</v>
      </c>
      <c r="O13" s="498">
        <f t="shared" si="1"/>
        <v>14027.000000000002</v>
      </c>
      <c r="P13" s="497">
        <v>3535</v>
      </c>
      <c r="Q13" s="497">
        <v>3683</v>
      </c>
      <c r="R13" s="497">
        <v>3654</v>
      </c>
      <c r="S13" s="497">
        <v>3623</v>
      </c>
      <c r="T13" s="498">
        <f t="shared" si="2"/>
        <v>14495</v>
      </c>
      <c r="U13" s="499">
        <f>'Revenue Build'!U44</f>
        <v>211.95199999999997</v>
      </c>
      <c r="V13" s="499">
        <f>'Revenue Build'!V44</f>
        <v>218.92199999999997</v>
      </c>
      <c r="W13" s="499">
        <f>'Revenue Build'!W44</f>
        <v>209.1</v>
      </c>
      <c r="X13" s="499">
        <v>198.93741</v>
      </c>
      <c r="Y13" s="498">
        <f t="shared" si="3"/>
        <v>838.9114099999999</v>
      </c>
      <c r="Z13" s="499">
        <f>'Revenue Build'!Z44</f>
        <v>218.31055999999998</v>
      </c>
      <c r="AA13" s="499">
        <f>'Revenue Build'!AA44</f>
        <v>225.70858199999995</v>
      </c>
      <c r="AB13" s="499">
        <f>'Revenue Build'!AB44</f>
        <v>216.2094</v>
      </c>
      <c r="AC13" s="499">
        <f>'Revenue Build'!AC44</f>
        <v>206.8</v>
      </c>
      <c r="AD13" s="498">
        <f t="shared" si="4"/>
        <v>867.028542</v>
      </c>
      <c r="AE13" s="500">
        <f>'Revenue Build'!AE44</f>
        <v>894.773455344</v>
      </c>
      <c r="AF13" s="500">
        <f>'Revenue Build'!AF44</f>
        <v>915.3532448169119</v>
      </c>
      <c r="AG13" s="500">
        <f>'Revenue Build'!AG44</f>
        <v>974.8512057300111</v>
      </c>
    </row>
    <row r="14" ht="14.25" customHeight="1" spans="1:33" x14ac:dyDescent="0.25">
      <c r="C14" s="130" t="str">
        <f t="shared" si="5"/>
        <v>Professional Services and Other Revenue</v>
      </c>
      <c r="D14" s="8"/>
      <c r="E14" s="8"/>
      <c r="F14" s="497">
        <v>0</v>
      </c>
      <c r="G14" s="497">
        <v>0</v>
      </c>
      <c r="H14" s="497">
        <v>0</v>
      </c>
      <c r="I14" s="497">
        <v>0</v>
      </c>
      <c r="K14" s="497">
        <v>0</v>
      </c>
      <c r="L14" s="497">
        <v>0</v>
      </c>
      <c r="M14" s="497">
        <v>0</v>
      </c>
      <c r="N14" s="497">
        <v>0</v>
      </c>
      <c r="P14" s="497">
        <v>0</v>
      </c>
      <c r="Q14" s="497">
        <v>0</v>
      </c>
      <c r="R14" s="497">
        <v>0</v>
      </c>
      <c r="S14" s="497">
        <v>0</v>
      </c>
      <c r="U14" s="499">
        <f>'Revenue Build'!U47</f>
        <v>0</v>
      </c>
      <c r="V14" s="499">
        <f>'Revenue Build'!V47</f>
        <v>0</v>
      </c>
      <c r="W14" s="499">
        <f>'Revenue Build'!W47</f>
        <v>0</v>
      </c>
      <c r="X14" s="499">
        <v>0</v>
      </c>
      <c r="Y14" s="498">
        <f t="shared" si="3"/>
        <v>0</v>
      </c>
      <c r="Z14" s="499">
        <f>'Revenue Build'!Z47</f>
        <v>0</v>
      </c>
      <c r="AA14" s="499">
        <f>'Revenue Build'!AA47</f>
        <v>0</v>
      </c>
      <c r="AB14" s="499">
        <f>'Revenue Build'!AB47</f>
        <v>0</v>
      </c>
      <c r="AC14" s="499">
        <f>'Revenue Build'!AC47</f>
        <v>0</v>
      </c>
      <c r="AD14" s="498">
        <f t="shared" si="4"/>
        <v>0</v>
      </c>
      <c r="AE14" s="500">
        <f>'Revenue Build'!AE47</f>
        <v>0</v>
      </c>
      <c r="AF14" s="500">
        <f>'Revenue Build'!AF47</f>
        <v>0</v>
      </c>
      <c r="AG14" s="500">
        <f>'Revenue Build'!AG47</f>
        <v>0</v>
      </c>
    </row>
    <row r="15" ht="14.25" customHeight="1" spans="1:33" x14ac:dyDescent="0.25">
      <c r="C15" s="8"/>
      <c r="D15" s="8"/>
      <c r="E15" s="8"/>
      <c r="F15" s="312"/>
      <c r="G15" s="312"/>
      <c r="H15" s="501"/>
      <c r="I15" s="312"/>
      <c r="J15" s="160"/>
      <c r="K15" s="312"/>
      <c r="L15" s="312"/>
      <c r="M15" s="312"/>
      <c r="N15" s="312"/>
      <c r="O15" s="160"/>
      <c r="P15" s="312"/>
      <c r="Q15" s="312"/>
      <c r="R15" s="312"/>
      <c r="S15" s="312"/>
      <c r="T15" s="160"/>
      <c r="U15" s="315"/>
      <c r="V15" s="315"/>
      <c r="W15" s="315"/>
      <c r="X15" s="315"/>
      <c r="Y15" s="160"/>
      <c r="Z15" s="315"/>
      <c r="AA15" s="315"/>
      <c r="AB15" s="315"/>
      <c r="AC15" s="315"/>
      <c r="AD15" s="160"/>
      <c r="AE15" s="160"/>
      <c r="AF15" s="160"/>
      <c r="AG15" s="160"/>
    </row>
    <row r="16" ht="14.25" customHeight="1" spans="1:33" x14ac:dyDescent="0.25">
      <c r="C16" s="8" t="s">
        <v>448</v>
      </c>
      <c r="D16" s="8"/>
      <c r="E16" s="8"/>
      <c r="F16" s="502"/>
      <c r="G16" s="502"/>
      <c r="H16" s="501"/>
      <c r="I16" s="502"/>
      <c r="J16" s="160"/>
      <c r="K16" s="502"/>
      <c r="L16" s="502"/>
      <c r="M16" s="502"/>
      <c r="N16" s="502"/>
      <c r="O16" s="160"/>
      <c r="P16" s="502"/>
      <c r="Q16" s="502"/>
      <c r="R16" s="502"/>
      <c r="S16" s="502"/>
      <c r="T16" s="160"/>
      <c r="U16" s="503"/>
      <c r="V16" s="503"/>
      <c r="W16" s="503"/>
      <c r="X16" s="503"/>
      <c r="Y16" s="160"/>
      <c r="Z16" s="503"/>
      <c r="AA16" s="503"/>
      <c r="AB16" s="503"/>
      <c r="AC16" s="503"/>
      <c r="AD16" s="160"/>
      <c r="AE16" s="160"/>
      <c r="AF16" s="160"/>
      <c r="AG16" s="160"/>
    </row>
    <row r="17" ht="14.25" customHeight="1" spans="1:33" x14ac:dyDescent="0.25">
      <c r="C17" s="504" t="s">
        <v>449</v>
      </c>
      <c r="D17" s="8"/>
      <c r="E17" s="8"/>
      <c r="F17" s="394">
        <f t="shared" ref="F17:I22" si="6">IFERROR(F9/F$8,"N/A")</f>
        <v>0.6864929770182345</v>
      </c>
      <c r="G17" s="394">
        <f t="shared" si="6"/>
        <v>0.6825196596795404</v>
      </c>
      <c r="H17" s="394">
        <f t="shared" si="6"/>
        <v>0.6838913719647665</v>
      </c>
      <c r="I17" s="394">
        <f t="shared" si="6"/>
        <v>0.6877022653721683</v>
      </c>
      <c r="J17" s="395">
        <f t="shared" ref="J17:AG17" si="7">IFERROR(J9/J$8,"N/A")</f>
        <v>0.6851481840355507</v>
      </c>
      <c r="K17" s="394">
        <f t="shared" ref="K17:N22" si="8">IFERROR(K9/K$8,"N/A")</f>
        <v>0.6895408757800968</v>
      </c>
      <c r="L17" s="394">
        <f t="shared" si="8"/>
        <v>0.6726284584980239</v>
      </c>
      <c r="M17" s="394">
        <f t="shared" si="8"/>
        <v>0.6726362788871989</v>
      </c>
      <c r="N17" s="394">
        <f t="shared" si="8"/>
        <v>0.6742461690558577</v>
      </c>
      <c r="O17" s="395">
        <f t="shared" si="7"/>
        <v>0.6771125069392898</v>
      </c>
      <c r="P17" s="394">
        <f t="shared" ref="P17:S22" si="9">IFERROR(P9/P$8,"N/A")</f>
        <v>0.6842105263157895</v>
      </c>
      <c r="Q17" s="394">
        <f t="shared" si="9"/>
        <v>0.6663518299881936</v>
      </c>
      <c r="R17" s="394">
        <f t="shared" si="9"/>
        <v>0.6730769230769231</v>
      </c>
      <c r="S17" s="394">
        <f t="shared" si="9"/>
        <v>0.6849613152804642</v>
      </c>
      <c r="T17" s="395">
        <f t="shared" si="7"/>
        <v>0.6770130183220829</v>
      </c>
      <c r="U17" s="396">
        <f t="shared" ref="U17:W22" si="10">IFERROR(U9/U$8,"N/A")</f>
        <v>0.6843247088412141</v>
      </c>
      <c r="V17" s="396">
        <f t="shared" si="10"/>
        <v>0.6694982013871035</v>
      </c>
      <c r="W17" s="396">
        <f t="shared" si="10"/>
        <v>0.6758695016688135</v>
      </c>
      <c r="X17" s="396">
        <v>0.6825511202471736</v>
      </c>
      <c r="Y17" s="395">
        <f t="shared" si="7"/>
        <v>0.6779961616028587</v>
      </c>
      <c r="Z17" s="396">
        <f t="shared" si="7"/>
        <v>0.6845755028906192</v>
      </c>
      <c r="AA17" s="396">
        <f t="shared" si="7"/>
        <v>0.6696050751235487</v>
      </c>
      <c r="AB17" s="396">
        <f t="shared" si="7"/>
        <v>0.6768273667054872</v>
      </c>
      <c r="AC17" s="396">
        <f t="shared" si="7"/>
        <v>0.6866538360024765</v>
      </c>
      <c r="AD17" s="395">
        <f t="shared" si="7"/>
        <v>0.6793227870792695</v>
      </c>
      <c r="AE17" s="395">
        <f t="shared" si="7"/>
        <v>0.679080425221406</v>
      </c>
      <c r="AF17" s="395">
        <f t="shared" si="7"/>
        <v>0.6792179120066449</v>
      </c>
      <c r="AG17" s="395">
        <f t="shared" si="7"/>
        <v>0.6765613606329721</v>
      </c>
    </row>
    <row r="18" ht="14.25" customHeight="1" spans="1:33" x14ac:dyDescent="0.25">
      <c r="C18" s="504" t="s">
        <v>450</v>
      </c>
      <c r="D18" s="8"/>
      <c r="E18" s="8"/>
      <c r="F18" s="394">
        <f t="shared" si="6"/>
        <v>0.10963111892993772</v>
      </c>
      <c r="G18" s="394">
        <f t="shared" si="6"/>
        <v>0.11567674924179391</v>
      </c>
      <c r="H18" s="394">
        <f t="shared" si="6"/>
        <v>0.11403852688256358</v>
      </c>
      <c r="I18" s="394">
        <f t="shared" si="6"/>
        <v>0.10951038730556427</v>
      </c>
      <c r="J18" s="395">
        <f t="shared" ref="J18:AG18" si="11">IFERROR(J10/J$8,"N/A")</f>
        <v>0.11223228306993216</v>
      </c>
      <c r="K18" s="394">
        <f t="shared" si="8"/>
        <v>0.10472071885439052</v>
      </c>
      <c r="L18" s="394">
        <f t="shared" si="8"/>
        <v>0.10874505928853756</v>
      </c>
      <c r="M18" s="394">
        <f t="shared" si="8"/>
        <v>0.111083852607821</v>
      </c>
      <c r="N18" s="394">
        <f t="shared" si="8"/>
        <v>0.10949085516559565</v>
      </c>
      <c r="O18" s="395">
        <f t="shared" si="11"/>
        <v>0.108558561368272</v>
      </c>
      <c r="P18" s="394">
        <f t="shared" ref="P18:Q22" si="12">IFERROR(P10/P$8,"N/A")</f>
        <v>0.1050137191319531</v>
      </c>
      <c r="Q18" s="394">
        <f t="shared" si="12"/>
        <v>0.1218417945690673</v>
      </c>
      <c r="R18" s="394">
        <f t="shared" si="9"/>
        <v>0.1225071225071225</v>
      </c>
      <c r="S18" s="394">
        <f t="shared" si="9"/>
        <v>0.11291102514506769</v>
      </c>
      <c r="T18" s="395">
        <f t="shared" si="11"/>
        <v>0.11571841851494696</v>
      </c>
      <c r="U18" s="396">
        <f t="shared" si="10"/>
        <v>0.10574091461533662</v>
      </c>
      <c r="V18" s="396">
        <f t="shared" si="10"/>
        <v>0.11864680010393913</v>
      </c>
      <c r="W18" s="396">
        <f t="shared" si="10"/>
        <v>0.11946346484523605</v>
      </c>
      <c r="X18" s="396">
        <v>0.11246713476530074</v>
      </c>
      <c r="Y18" s="395">
        <f t="shared" si="11"/>
        <v>0.11417689771252221</v>
      </c>
      <c r="Z18" s="396">
        <f t="shared" si="11"/>
        <v>0.10547743934767015</v>
      </c>
      <c r="AA18" s="396">
        <f t="shared" si="11"/>
        <v>0.11900510817996303</v>
      </c>
      <c r="AB18" s="396">
        <f t="shared" si="11"/>
        <v>0.11929128979411348</v>
      </c>
      <c r="AC18" s="396">
        <f t="shared" si="11"/>
        <v>0.11297545635670288</v>
      </c>
      <c r="AD18" s="395">
        <f t="shared" si="11"/>
        <v>0.11429984149307056</v>
      </c>
      <c r="AE18" s="395">
        <f t="shared" si="11"/>
        <v>0.11524029517018622</v>
      </c>
      <c r="AF18" s="395">
        <f t="shared" si="11"/>
        <v>0.11581197892081757</v>
      </c>
      <c r="AG18" s="395">
        <f t="shared" si="11"/>
        <v>0.1164639875032466</v>
      </c>
    </row>
    <row r="19" ht="14.25" customHeight="1" spans="1:33" x14ac:dyDescent="0.25">
      <c r="C19" s="504" t="s">
        <v>451</v>
      </c>
      <c r="D19" s="8"/>
      <c r="E19" s="8"/>
      <c r="F19" s="394">
        <f t="shared" si="6"/>
        <v>0.11401524671190416</v>
      </c>
      <c r="G19" s="394">
        <f t="shared" si="6"/>
        <v>0.10690034622507312</v>
      </c>
      <c r="H19" s="394">
        <f t="shared" si="6"/>
        <v>0.10580517002535351</v>
      </c>
      <c r="I19" s="394">
        <f t="shared" si="6"/>
        <v>0.10789226432821797</v>
      </c>
      <c r="J19" s="395">
        <f t="shared" ref="J19:AG19" si="13">IFERROR(J11/J$8,"N/A")</f>
        <v>0.10857696548498112</v>
      </c>
      <c r="K19" s="394">
        <f t="shared" si="8"/>
        <v>0.1096149364269622</v>
      </c>
      <c r="L19" s="394">
        <f t="shared" si="8"/>
        <v>0.11674901185770753</v>
      </c>
      <c r="M19" s="394">
        <f t="shared" si="8"/>
        <v>0.11400323831019085</v>
      </c>
      <c r="N19" s="394">
        <f t="shared" si="8"/>
        <v>0.11913000494315373</v>
      </c>
      <c r="O19" s="395">
        <f t="shared" si="13"/>
        <v>0.11493335163018731</v>
      </c>
      <c r="P19" s="394">
        <f t="shared" si="12"/>
        <v>0.11199800448989773</v>
      </c>
      <c r="Q19" s="394">
        <f t="shared" si="12"/>
        <v>0.10909090909090909</v>
      </c>
      <c r="R19" s="394">
        <f t="shared" si="9"/>
        <v>0.10280151946818614</v>
      </c>
      <c r="S19" s="394">
        <f t="shared" si="9"/>
        <v>0.10203094777562863</v>
      </c>
      <c r="T19" s="395">
        <f t="shared" si="13"/>
        <v>0.10643683702989393</v>
      </c>
      <c r="U19" s="396">
        <f t="shared" si="10"/>
        <v>0.111584198066238</v>
      </c>
      <c r="V19" s="396">
        <f t="shared" si="10"/>
        <v>0.10918404579898189</v>
      </c>
      <c r="W19" s="396">
        <f t="shared" si="10"/>
        <v>0.1030293337640936</v>
      </c>
      <c r="X19" s="396">
        <v>0.10973127855007722</v>
      </c>
      <c r="Y19" s="395">
        <f t="shared" si="13"/>
        <v>0.10835125629256971</v>
      </c>
      <c r="Z19" s="396">
        <f t="shared" si="13"/>
        <v>0.11226294955624293</v>
      </c>
      <c r="AA19" s="396">
        <f t="shared" si="13"/>
        <v>0.10940967622827606</v>
      </c>
      <c r="AB19" s="396">
        <f t="shared" si="13"/>
        <v>0.10297901291943014</v>
      </c>
      <c r="AC19" s="396">
        <f t="shared" si="13"/>
        <v>0.10257782195753316</v>
      </c>
      <c r="AD19" s="395">
        <f t="shared" si="13"/>
        <v>0.10675709810472465</v>
      </c>
      <c r="AE19" s="395">
        <f t="shared" si="13"/>
        <v>0.10702450374608605</v>
      </c>
      <c r="AF19" s="395">
        <f t="shared" si="13"/>
        <v>0.10755543062041126</v>
      </c>
      <c r="AG19" s="395">
        <f t="shared" si="13"/>
        <v>0.10980286779444035</v>
      </c>
    </row>
    <row r="20" ht="14.25" customHeight="1" spans="1:33" x14ac:dyDescent="0.25">
      <c r="C20" s="504" t="s">
        <v>452</v>
      </c>
      <c r="D20" s="8"/>
      <c r="E20" s="8"/>
      <c r="F20" s="394">
        <f t="shared" si="6"/>
        <v>0.04839295188629192</v>
      </c>
      <c r="G20" s="394">
        <f t="shared" si="6"/>
        <v>0.052953648782844406</v>
      </c>
      <c r="H20" s="394">
        <f t="shared" si="6"/>
        <v>0.05389581536370527</v>
      </c>
      <c r="I20" s="394">
        <f t="shared" si="6"/>
        <v>0.049117861989769286</v>
      </c>
      <c r="J20" s="395">
        <f t="shared" ref="J20:AG20" si="14">IFERROR(J12/J$8,"N/A")</f>
        <v>0.05112098633432456</v>
      </c>
      <c r="K20" s="394">
        <f t="shared" si="8"/>
        <v>0.04733666519926456</v>
      </c>
      <c r="L20" s="394">
        <f t="shared" si="8"/>
        <v>0.05143280632411067</v>
      </c>
      <c r="M20" s="394">
        <f t="shared" si="8"/>
        <v>0.051911093665669</v>
      </c>
      <c r="N20" s="394">
        <f t="shared" si="8"/>
        <v>0.050173010380622836</v>
      </c>
      <c r="O20" s="395">
        <f t="shared" si="14"/>
        <v>0.05024981443247525</v>
      </c>
      <c r="P20" s="394">
        <f t="shared" si="12"/>
        <v>0.046894487403342476</v>
      </c>
      <c r="Q20" s="394">
        <f t="shared" si="12"/>
        <v>0.05218417945690673</v>
      </c>
      <c r="R20" s="394">
        <f t="shared" si="9"/>
        <v>0.05318138651471985</v>
      </c>
      <c r="S20" s="394">
        <f t="shared" si="9"/>
        <v>0.051740812379110254</v>
      </c>
      <c r="T20" s="395">
        <f t="shared" si="14"/>
        <v>0.05104869816779171</v>
      </c>
      <c r="U20" s="396">
        <f t="shared" si="10"/>
        <v>0.04730976578463147</v>
      </c>
      <c r="V20" s="396">
        <f t="shared" si="10"/>
        <v>0.052682894750662526</v>
      </c>
      <c r="W20" s="396">
        <f t="shared" si="10"/>
        <v>0.05365902235471364</v>
      </c>
      <c r="X20" s="396">
        <v>0.05040247568014055</v>
      </c>
      <c r="Y20" s="395">
        <f t="shared" si="14"/>
        <v>0.051056795144133006</v>
      </c>
      <c r="Z20" s="396">
        <f t="shared" si="14"/>
        <v>0.047597544650945865</v>
      </c>
      <c r="AA20" s="396">
        <f t="shared" si="14"/>
        <v>0.052841994757076044</v>
      </c>
      <c r="AB20" s="396">
        <f t="shared" si="14"/>
        <v>0.05363281460173634</v>
      </c>
      <c r="AC20" s="396">
        <f t="shared" si="14"/>
        <v>0.05206777282831389</v>
      </c>
      <c r="AD20" s="395">
        <f t="shared" si="14"/>
        <v>0.05158189186516309</v>
      </c>
      <c r="AE20" s="395">
        <f t="shared" si="14"/>
        <v>0.051366681793754566</v>
      </c>
      <c r="AF20" s="395">
        <f t="shared" si="14"/>
        <v>0.05137708150443083</v>
      </c>
      <c r="AG20" s="395">
        <f t="shared" si="14"/>
        <v>0.05039182730009481</v>
      </c>
    </row>
    <row r="21" ht="14.25" customHeight="1" spans="1:33" x14ac:dyDescent="0.25">
      <c r="C21" s="504" t="s">
        <v>453</v>
      </c>
      <c r="D21" s="8"/>
      <c r="E21" s="8"/>
      <c r="F21" s="394">
        <f t="shared" si="6"/>
        <v>0.04146770545363156</v>
      </c>
      <c r="G21" s="394">
        <f t="shared" si="6"/>
        <v>0.041949596070748</v>
      </c>
      <c r="H21" s="394">
        <f t="shared" si="6"/>
        <v>0.04236911576361117</v>
      </c>
      <c r="I21" s="394">
        <f t="shared" si="6"/>
        <v>0.0457772210042802</v>
      </c>
      <c r="J21" s="395">
        <f t="shared" ref="J21:AG21" si="15">IFERROR(J13/J$8,"N/A")</f>
        <v>0.042921581075211324</v>
      </c>
      <c r="K21" s="394">
        <f t="shared" si="8"/>
        <v>0.048786803739285796</v>
      </c>
      <c r="L21" s="394">
        <f t="shared" si="8"/>
        <v>0.050444664031620554</v>
      </c>
      <c r="M21" s="394">
        <f t="shared" si="8"/>
        <v>0.05036553652912026</v>
      </c>
      <c r="N21" s="394">
        <f t="shared" si="8"/>
        <v>0.04695996045477014</v>
      </c>
      <c r="O21" s="395">
        <f t="shared" si="15"/>
        <v>0.049145765629775635</v>
      </c>
      <c r="P21" s="394">
        <f t="shared" si="12"/>
        <v>0.05188326265901721</v>
      </c>
      <c r="Q21" s="394">
        <f t="shared" si="12"/>
        <v>0.050531286894923255</v>
      </c>
      <c r="R21" s="394">
        <f t="shared" si="9"/>
        <v>0.04843304843304843</v>
      </c>
      <c r="S21" s="394">
        <f t="shared" si="9"/>
        <v>0.048355899419729204</v>
      </c>
      <c r="T21" s="395">
        <f t="shared" si="15"/>
        <v>0.04978302796528448</v>
      </c>
      <c r="U21" s="396">
        <f t="shared" si="10"/>
        <v>0.0510404126925797</v>
      </c>
      <c r="V21" s="396">
        <f t="shared" si="10"/>
        <v>0.04998805795931303</v>
      </c>
      <c r="W21" s="396">
        <f t="shared" si="10"/>
        <v>0.04797867736714312</v>
      </c>
      <c r="X21" s="396">
        <v>0.044847990757307984</v>
      </c>
      <c r="Y21" s="395">
        <f t="shared" si="15"/>
        <v>0.048418889247916194</v>
      </c>
      <c r="Z21" s="396">
        <f t="shared" si="15"/>
        <v>0.050086563554522026</v>
      </c>
      <c r="AA21" s="396">
        <f t="shared" si="15"/>
        <v>0.04913814571113601</v>
      </c>
      <c r="AB21" s="396">
        <f t="shared" si="15"/>
        <v>0.04726951597923302</v>
      </c>
      <c r="AC21" s="396">
        <f t="shared" si="15"/>
        <v>0.04572511285497356</v>
      </c>
      <c r="AD21" s="395">
        <f t="shared" si="15"/>
        <v>0.04803838145777231</v>
      </c>
      <c r="AE21" s="395">
        <f t="shared" si="15"/>
        <v>0.04728809406856733</v>
      </c>
      <c r="AF21" s="395">
        <f t="shared" si="15"/>
        <v>0.04603759694769536</v>
      </c>
      <c r="AG21" s="395">
        <f t="shared" si="15"/>
        <v>0.04677995676924611</v>
      </c>
    </row>
    <row r="22" ht="14.25" customHeight="1" spans="1:33" x14ac:dyDescent="0.25">
      <c r="C22" s="504" t="s">
        <v>454</v>
      </c>
      <c r="D22" s="8"/>
      <c r="E22" s="8"/>
      <c r="F22" s="394">
        <f t="shared" si="6"/>
        <v>0</v>
      </c>
      <c r="G22" s="394">
        <f t="shared" si="6"/>
        <v>0</v>
      </c>
      <c r="H22" s="394">
        <f t="shared" si="6"/>
        <v>0</v>
      </c>
      <c r="I22" s="394">
        <f t="shared" si="6"/>
        <v>0</v>
      </c>
      <c r="J22" s="395">
        <f t="shared" ref="J22:AG22" si="16">IFERROR(J14/J$8,"N/A")</f>
        <v>0</v>
      </c>
      <c r="K22" s="394">
        <f t="shared" si="8"/>
        <v>0</v>
      </c>
      <c r="L22" s="394">
        <f t="shared" si="8"/>
        <v>0</v>
      </c>
      <c r="M22" s="394">
        <f t="shared" si="8"/>
        <v>0</v>
      </c>
      <c r="N22" s="394">
        <f t="shared" si="8"/>
        <v>0</v>
      </c>
      <c r="O22" s="395">
        <f t="shared" si="16"/>
        <v>0</v>
      </c>
      <c r="P22" s="394">
        <f t="shared" si="12"/>
        <v>0</v>
      </c>
      <c r="Q22" s="394">
        <f t="shared" si="12"/>
        <v>0</v>
      </c>
      <c r="R22" s="394">
        <f t="shared" si="9"/>
        <v>0</v>
      </c>
      <c r="S22" s="394">
        <f t="shared" si="9"/>
        <v>0</v>
      </c>
      <c r="T22" s="395">
        <f t="shared" si="16"/>
        <v>0</v>
      </c>
      <c r="U22" s="396">
        <f t="shared" si="10"/>
        <v>0</v>
      </c>
      <c r="V22" s="396">
        <f t="shared" si="10"/>
        <v>0</v>
      </c>
      <c r="W22" s="396">
        <f t="shared" si="10"/>
        <v>0</v>
      </c>
      <c r="X22" s="396">
        <v>0</v>
      </c>
      <c r="Y22" s="395">
        <f t="shared" si="16"/>
        <v>0</v>
      </c>
      <c r="Z22" s="396">
        <f t="shared" si="16"/>
        <v>0</v>
      </c>
      <c r="AA22" s="396">
        <f t="shared" si="16"/>
        <v>0</v>
      </c>
      <c r="AB22" s="396">
        <f t="shared" si="16"/>
        <v>0</v>
      </c>
      <c r="AC22" s="396">
        <f t="shared" si="16"/>
        <v>0</v>
      </c>
      <c r="AD22" s="395">
        <f t="shared" si="16"/>
        <v>0</v>
      </c>
      <c r="AE22" s="395">
        <f t="shared" si="16"/>
        <v>0</v>
      </c>
      <c r="AF22" s="395">
        <f t="shared" si="16"/>
        <v>0</v>
      </c>
      <c r="AG22" s="395">
        <f t="shared" si="16"/>
        <v>0</v>
      </c>
    </row>
    <row r="23" ht="14.25" customHeight="1" spans="1:33" x14ac:dyDescent="0.25">
      <c r="C23" s="8"/>
      <c r="D23" s="8"/>
      <c r="E23" s="8"/>
      <c r="F23" s="312"/>
      <c r="G23" s="312"/>
      <c r="H23" s="312"/>
      <c r="I23" s="312"/>
      <c r="J23" s="160"/>
      <c r="K23" s="312"/>
      <c r="L23" s="312"/>
      <c r="M23" s="312"/>
      <c r="N23" s="312"/>
      <c r="O23" s="160"/>
      <c r="P23" s="312"/>
      <c r="Q23" s="312"/>
      <c r="R23" s="312"/>
      <c r="S23" s="312"/>
      <c r="T23" s="160"/>
      <c r="U23" s="315"/>
      <c r="V23" s="315"/>
      <c r="W23" s="315"/>
      <c r="X23" s="315"/>
      <c r="Y23" s="160"/>
      <c r="Z23" s="315"/>
      <c r="AA23" s="315"/>
      <c r="AB23" s="315"/>
      <c r="AC23" s="315"/>
      <c r="AD23" s="160"/>
      <c r="AE23" s="160"/>
      <c r="AF23" s="160"/>
      <c r="AG23" s="160"/>
    </row>
    <row r="24" ht="14.25" customHeight="1" spans="1:33" x14ac:dyDescent="0.25" outlineLevel="1" collapsed="1">
      <c r="C24" s="8" t="s">
        <v>455</v>
      </c>
      <c r="D24" s="8"/>
      <c r="E24" s="8"/>
      <c r="F24" s="310">
        <f>SUM(F25:F27)</f>
        <v>0</v>
      </c>
      <c r="G24" s="310">
        <f>SUM(G25:G27)</f>
        <v>0</v>
      </c>
      <c r="H24" s="310">
        <f>SUM(H25:H27)</f>
        <v>0</v>
      </c>
      <c r="I24" s="310">
        <f>SUM(I25:I27)</f>
        <v>0</v>
      </c>
      <c r="J24" s="280">
        <f>SUM(F24:I24)</f>
        <v>0</v>
      </c>
      <c r="K24" s="310">
        <f>SUM(K25:K27)</f>
        <v>0</v>
      </c>
      <c r="L24" s="310">
        <f>SUM(L25:L27)</f>
        <v>0</v>
      </c>
      <c r="M24" s="310">
        <f>SUM(M25:M27)</f>
        <v>0</v>
      </c>
      <c r="N24" s="310">
        <f>SUM(N25:N27)</f>
        <v>0</v>
      </c>
      <c r="O24" s="280">
        <f>SUM(K24:N24)</f>
        <v>0</v>
      </c>
      <c r="P24" s="310">
        <f>SUM(P25:P27)</f>
        <v>0</v>
      </c>
      <c r="Q24" s="310">
        <f>SUM(Q25:Q27)</f>
        <v>0</v>
      </c>
      <c r="R24" s="310">
        <f>SUM(R25:R27)</f>
        <v>0</v>
      </c>
      <c r="S24" s="310">
        <f>SUM(S25:S27)</f>
        <v>0</v>
      </c>
      <c r="T24" s="280">
        <f>SUM(P24:S24)</f>
        <v>0</v>
      </c>
      <c r="U24" s="279">
        <f>SUM(U25:U27)</f>
        <v>0</v>
      </c>
      <c r="V24" s="279">
        <f>SUM(V25:V27)</f>
        <v>0</v>
      </c>
      <c r="W24" s="279">
        <f>SUM(W25:W27)</f>
        <v>0</v>
      </c>
      <c r="X24" s="279">
        <v>0</v>
      </c>
      <c r="Y24" s="280">
        <f>SUM(U24:X24)</f>
        <v>0</v>
      </c>
      <c r="Z24" s="279">
        <f>SUM(Z25:Z27)</f>
        <v>0</v>
      </c>
      <c r="AA24" s="279">
        <f>SUM(AA25:AA27)</f>
        <v>0</v>
      </c>
      <c r="AB24" s="279">
        <f>SUM(AB25:AB27)</f>
        <v>0</v>
      </c>
      <c r="AC24" s="279">
        <f>SUM(AC25:AC27)</f>
        <v>0</v>
      </c>
      <c r="AD24" s="280">
        <f>SUM(Z24:AC24)</f>
        <v>0</v>
      </c>
      <c r="AE24" s="280">
        <f>SUM(AE25:AE27)</f>
        <v>0</v>
      </c>
      <c r="AF24" s="280">
        <f>SUM(AF25:AF27)</f>
        <v>0</v>
      </c>
      <c r="AG24" s="280">
        <f>SUM(AG25:AG27)</f>
        <v>0</v>
      </c>
    </row>
    <row r="25" ht="14.25" customHeight="1" spans="1:33" x14ac:dyDescent="0.25" outlineLevel="1" collapsed="1">
      <c r="C25" s="130" t="str">
        <f>C30&amp;" Revenue"</f>
        <v>Boeing Military Aircraft Revenue</v>
      </c>
      <c r="D25" s="8"/>
      <c r="E25" s="8"/>
      <c r="F25" s="497">
        <v>0</v>
      </c>
      <c r="G25" s="497">
        <v>0</v>
      </c>
      <c r="H25" s="497">
        <v>0</v>
      </c>
      <c r="I25" s="497">
        <v>0</v>
      </c>
      <c r="J25" s="498">
        <f>SUM(F25:I25)</f>
        <v>0</v>
      </c>
      <c r="K25" s="497">
        <v>0</v>
      </c>
      <c r="L25" s="497">
        <v>0</v>
      </c>
      <c r="M25" s="497">
        <v>0</v>
      </c>
      <c r="N25" s="497">
        <v>0</v>
      </c>
      <c r="O25" s="498">
        <f>SUM(K25:N25)</f>
        <v>0</v>
      </c>
      <c r="P25" s="497">
        <v>0</v>
      </c>
      <c r="Q25" s="497">
        <v>0</v>
      </c>
      <c r="R25" s="497">
        <v>0</v>
      </c>
      <c r="S25" s="497">
        <v>0</v>
      </c>
      <c r="T25" s="498">
        <f>SUM(P25:S25)</f>
        <v>0</v>
      </c>
      <c r="U25" s="505">
        <v>0</v>
      </c>
      <c r="V25" s="505">
        <v>0</v>
      </c>
      <c r="W25" s="505">
        <v>0</v>
      </c>
      <c r="X25" s="505">
        <v>0</v>
      </c>
      <c r="Y25" s="498">
        <f>SUM(U25:X25)</f>
        <v>0</v>
      </c>
      <c r="Z25" s="505">
        <v>0</v>
      </c>
      <c r="AA25" s="505">
        <v>0</v>
      </c>
      <c r="AB25" s="505">
        <v>0</v>
      </c>
      <c r="AC25" s="505">
        <v>0</v>
      </c>
      <c r="AD25" s="498">
        <f>SUM(Z25:AC25)</f>
        <v>0</v>
      </c>
      <c r="AE25" s="506">
        <v>0</v>
      </c>
      <c r="AF25" s="506">
        <v>0</v>
      </c>
      <c r="AG25" s="506">
        <v>0</v>
      </c>
    </row>
    <row r="26" ht="14.25" customHeight="1" spans="1:33" x14ac:dyDescent="0.25" outlineLevel="1" collapsed="1">
      <c r="C26" s="130" t="str">
        <f>C31&amp;" Revenue"</f>
        <v>Network &amp; Space Systems Revenue</v>
      </c>
      <c r="D26" s="8"/>
      <c r="E26" s="8"/>
      <c r="F26" s="497">
        <v>0</v>
      </c>
      <c r="G26" s="497">
        <v>0</v>
      </c>
      <c r="H26" s="497">
        <v>0</v>
      </c>
      <c r="I26" s="497">
        <v>0</v>
      </c>
      <c r="J26" s="498">
        <f>SUM(F26:I26)</f>
        <v>0</v>
      </c>
      <c r="K26" s="497">
        <v>0</v>
      </c>
      <c r="L26" s="497">
        <v>0</v>
      </c>
      <c r="M26" s="497">
        <v>0</v>
      </c>
      <c r="N26" s="497">
        <v>0</v>
      </c>
      <c r="O26" s="498">
        <f>SUM(K26:N26)</f>
        <v>0</v>
      </c>
      <c r="P26" s="497">
        <v>0</v>
      </c>
      <c r="Q26" s="497">
        <v>0</v>
      </c>
      <c r="R26" s="497">
        <v>0</v>
      </c>
      <c r="S26" s="497">
        <v>0</v>
      </c>
      <c r="T26" s="498">
        <f>SUM(P26:S26)</f>
        <v>0</v>
      </c>
      <c r="U26" s="505">
        <v>0</v>
      </c>
      <c r="V26" s="505">
        <v>0</v>
      </c>
      <c r="W26" s="505">
        <v>0</v>
      </c>
      <c r="X26" s="505">
        <v>0</v>
      </c>
      <c r="Y26" s="498">
        <f>SUM(U26:X26)</f>
        <v>0</v>
      </c>
      <c r="Z26" s="505">
        <v>0</v>
      </c>
      <c r="AA26" s="505">
        <v>0</v>
      </c>
      <c r="AB26" s="505">
        <v>0</v>
      </c>
      <c r="AC26" s="505">
        <v>0</v>
      </c>
      <c r="AD26" s="498">
        <f>SUM(Z26:AC26)</f>
        <v>0</v>
      </c>
      <c r="AE26" s="506">
        <v>0</v>
      </c>
      <c r="AF26" s="506">
        <v>0</v>
      </c>
      <c r="AG26" s="506">
        <v>0</v>
      </c>
    </row>
    <row r="27" ht="14.25" customHeight="1" spans="1:33" x14ac:dyDescent="0.25" outlineLevel="1" collapsed="1">
      <c r="C27" s="130" t="str">
        <f>C32&amp;" Revenue"</f>
        <v>Global Services &amp; Support Revenue</v>
      </c>
      <c r="D27" s="8"/>
      <c r="E27" s="8"/>
      <c r="F27" s="497">
        <v>0</v>
      </c>
      <c r="G27" s="497">
        <v>0</v>
      </c>
      <c r="H27" s="497">
        <v>0</v>
      </c>
      <c r="I27" s="497">
        <v>0</v>
      </c>
      <c r="J27" s="498">
        <f>SUM(F27:I27)</f>
        <v>0</v>
      </c>
      <c r="K27" s="497">
        <v>0</v>
      </c>
      <c r="L27" s="497">
        <v>0</v>
      </c>
      <c r="M27" s="497">
        <v>0</v>
      </c>
      <c r="N27" s="497">
        <v>0</v>
      </c>
      <c r="O27" s="498">
        <f>SUM(K27:N27)</f>
        <v>0</v>
      </c>
      <c r="P27" s="497">
        <v>0</v>
      </c>
      <c r="Q27" s="497">
        <v>0</v>
      </c>
      <c r="R27" s="497">
        <v>0</v>
      </c>
      <c r="S27" s="497">
        <v>0</v>
      </c>
      <c r="T27" s="498">
        <f>SUM(P27:S27)</f>
        <v>0</v>
      </c>
      <c r="U27" s="505">
        <v>0</v>
      </c>
      <c r="V27" s="505">
        <v>0</v>
      </c>
      <c r="W27" s="505">
        <v>0</v>
      </c>
      <c r="X27" s="505">
        <v>0</v>
      </c>
      <c r="Y27" s="498">
        <f>SUM(U27:X27)</f>
        <v>0</v>
      </c>
      <c r="Z27" s="505">
        <v>0</v>
      </c>
      <c r="AA27" s="505">
        <v>0</v>
      </c>
      <c r="AB27" s="505">
        <v>0</v>
      </c>
      <c r="AC27" s="505">
        <v>0</v>
      </c>
      <c r="AD27" s="498">
        <f>SUM(Z27:AC27)</f>
        <v>0</v>
      </c>
      <c r="AE27" s="506">
        <v>0</v>
      </c>
      <c r="AF27" s="506">
        <v>0</v>
      </c>
      <c r="AG27" s="506">
        <v>0</v>
      </c>
    </row>
    <row r="28" ht="14.25" customHeight="1" spans="1:33" x14ac:dyDescent="0.25" outlineLevel="1" collapsed="1">
      <c r="C28" s="8"/>
      <c r="D28" s="8"/>
      <c r="E28" s="8"/>
      <c r="F28" s="312"/>
      <c r="G28" s="312"/>
      <c r="H28" s="312"/>
      <c r="I28" s="312"/>
      <c r="J28" s="160"/>
      <c r="K28" s="312"/>
      <c r="L28" s="312"/>
      <c r="M28" s="312"/>
      <c r="N28" s="312"/>
      <c r="O28" s="160"/>
      <c r="P28" s="312"/>
      <c r="Q28" s="312"/>
      <c r="R28" s="312"/>
      <c r="S28" s="312"/>
      <c r="T28" s="160"/>
      <c r="U28" s="315"/>
      <c r="V28" s="315"/>
      <c r="W28" s="315"/>
      <c r="X28" s="315"/>
      <c r="Y28" s="160"/>
      <c r="Z28" s="315"/>
      <c r="AA28" s="315"/>
      <c r="AB28" s="315"/>
      <c r="AC28" s="315"/>
      <c r="AD28" s="160"/>
      <c r="AE28" s="160"/>
      <c r="AF28" s="160"/>
      <c r="AG28" s="160"/>
    </row>
    <row r="29" ht="14.25" customHeight="1" spans="1:33" x14ac:dyDescent="0.25" outlineLevel="1" collapsed="1">
      <c r="C29" s="8" t="s">
        <v>455</v>
      </c>
      <c r="D29" s="8"/>
      <c r="E29" s="8"/>
      <c r="F29" s="502"/>
      <c r="G29" s="502"/>
      <c r="H29" s="502"/>
      <c r="I29" s="502"/>
      <c r="J29" s="160"/>
      <c r="K29" s="502"/>
      <c r="L29" s="502"/>
      <c r="M29" s="502"/>
      <c r="N29" s="502"/>
      <c r="O29" s="160"/>
      <c r="P29" s="502"/>
      <c r="Q29" s="502"/>
      <c r="R29" s="502"/>
      <c r="S29" s="502"/>
      <c r="T29" s="160"/>
      <c r="U29" s="503"/>
      <c r="V29" s="503"/>
      <c r="W29" s="503"/>
      <c r="X29" s="503"/>
      <c r="Y29" s="160"/>
      <c r="Z29" s="503"/>
      <c r="AA29" s="503"/>
      <c r="AB29" s="503"/>
      <c r="AC29" s="503"/>
      <c r="AD29" s="160"/>
      <c r="AE29" s="160"/>
      <c r="AF29" s="160"/>
      <c r="AG29" s="160"/>
    </row>
    <row r="30" ht="14.25" customHeight="1" spans="1:33" x14ac:dyDescent="0.25" outlineLevel="1" collapsed="1">
      <c r="C30" s="504" t="s">
        <v>456</v>
      </c>
      <c r="D30" s="8"/>
      <c r="E30" s="8"/>
      <c r="F30" s="502" t="str">
        <f t="shared" ref="F30:I32" si="17">IFERROR(F25/F$24,"N/A")</f>
        <v>N/A</v>
      </c>
      <c r="G30" s="502" t="str">
        <f t="shared" si="17"/>
        <v>N/A</v>
      </c>
      <c r="H30" s="502" t="str">
        <f t="shared" si="17"/>
        <v>N/A</v>
      </c>
      <c r="I30" s="502" t="str">
        <f t="shared" si="17"/>
        <v>N/A</v>
      </c>
      <c r="J30" s="507" t="str">
        <f t="shared" ref="J30:AG30" si="18">IFERROR(J25/J$24,"N/A")</f>
        <v>N/A</v>
      </c>
      <c r="K30" s="502" t="str">
        <f t="shared" ref="K30:N32" si="19">IFERROR(K25/K$24,"N/A")</f>
        <v>N/A</v>
      </c>
      <c r="L30" s="502" t="str">
        <f t="shared" si="19"/>
        <v>N/A</v>
      </c>
      <c r="M30" s="502" t="str">
        <f t="shared" si="19"/>
        <v>N/A</v>
      </c>
      <c r="N30" s="502" t="str">
        <f t="shared" si="19"/>
        <v>N/A</v>
      </c>
      <c r="O30" s="507" t="str">
        <f t="shared" si="18"/>
        <v>N/A</v>
      </c>
      <c r="P30" s="502" t="str">
        <f t="shared" ref="P30:S32" si="20">IFERROR(P25/P$24,"N/A")</f>
        <v>N/A</v>
      </c>
      <c r="Q30" s="502" t="str">
        <f t="shared" si="20"/>
        <v>N/A</v>
      </c>
      <c r="R30" s="502" t="str">
        <f t="shared" si="20"/>
        <v>N/A</v>
      </c>
      <c r="S30" s="502" t="str">
        <f t="shared" si="20"/>
        <v>N/A</v>
      </c>
      <c r="T30" s="507" t="str">
        <f t="shared" si="18"/>
        <v>N/A</v>
      </c>
      <c r="U30" s="503" t="str">
        <f t="shared" ref="U30:W32" si="21">IFERROR(U25/U$24,"N/A")</f>
        <v>N/A</v>
      </c>
      <c r="V30" s="503" t="str">
        <f t="shared" si="21"/>
        <v>N/A</v>
      </c>
      <c r="W30" s="503" t="str">
        <f t="shared" si="21"/>
        <v>N/A</v>
      </c>
      <c r="X30" s="503" t="s">
        <v>457</v>
      </c>
      <c r="Y30" s="507" t="str">
        <f t="shared" si="18"/>
        <v>N/A</v>
      </c>
      <c r="Z30" s="503" t="str">
        <f t="shared" si="18"/>
        <v>N/A</v>
      </c>
      <c r="AA30" s="503" t="str">
        <f t="shared" si="18"/>
        <v>N/A</v>
      </c>
      <c r="AB30" s="503" t="str">
        <f t="shared" si="18"/>
        <v>N/A</v>
      </c>
      <c r="AC30" s="503" t="str">
        <f t="shared" si="18"/>
        <v>N/A</v>
      </c>
      <c r="AD30" s="507" t="str">
        <f t="shared" si="18"/>
        <v>N/A</v>
      </c>
      <c r="AE30" s="507" t="str">
        <f t="shared" si="18"/>
        <v>N/A</v>
      </c>
      <c r="AF30" s="507" t="str">
        <f t="shared" si="18"/>
        <v>N/A</v>
      </c>
      <c r="AG30" s="507" t="str">
        <f t="shared" si="18"/>
        <v>N/A</v>
      </c>
    </row>
    <row r="31" ht="14.25" customHeight="1" spans="1:33" x14ac:dyDescent="0.25" outlineLevel="1" collapsed="1">
      <c r="C31" s="504" t="s">
        <v>458</v>
      </c>
      <c r="D31" s="8"/>
      <c r="E31" s="8"/>
      <c r="F31" s="502" t="str">
        <f t="shared" si="17"/>
        <v>N/A</v>
      </c>
      <c r="G31" s="502" t="str">
        <f t="shared" si="17"/>
        <v>N/A</v>
      </c>
      <c r="H31" s="502" t="str">
        <f t="shared" si="17"/>
        <v>N/A</v>
      </c>
      <c r="I31" s="502" t="str">
        <f t="shared" si="17"/>
        <v>N/A</v>
      </c>
      <c r="J31" s="507" t="str">
        <f t="shared" ref="J31:AG31" si="22">IFERROR(J26/J$24,"N/A")</f>
        <v>N/A</v>
      </c>
      <c r="K31" s="502" t="str">
        <f t="shared" si="19"/>
        <v>N/A</v>
      </c>
      <c r="L31" s="502" t="str">
        <f t="shared" si="19"/>
        <v>N/A</v>
      </c>
      <c r="M31" s="502" t="str">
        <f t="shared" si="19"/>
        <v>N/A</v>
      </c>
      <c r="N31" s="502" t="str">
        <f t="shared" si="19"/>
        <v>N/A</v>
      </c>
      <c r="O31" s="507" t="str">
        <f t="shared" si="22"/>
        <v>N/A</v>
      </c>
      <c r="P31" s="502" t="str">
        <f>IFERROR(P26/P$24,"N/A")</f>
        <v>N/A</v>
      </c>
      <c r="Q31" s="502" t="str">
        <f>IFERROR(Q26/Q$24,"N/A")</f>
        <v>N/A</v>
      </c>
      <c r="R31" s="502" t="str">
        <f t="shared" si="20"/>
        <v>N/A</v>
      </c>
      <c r="S31" s="502" t="str">
        <f t="shared" si="20"/>
        <v>N/A</v>
      </c>
      <c r="T31" s="507" t="str">
        <f t="shared" si="22"/>
        <v>N/A</v>
      </c>
      <c r="U31" s="503" t="str">
        <f t="shared" si="21"/>
        <v>N/A</v>
      </c>
      <c r="V31" s="503" t="str">
        <f t="shared" si="21"/>
        <v>N/A</v>
      </c>
      <c r="W31" s="503" t="str">
        <f t="shared" si="21"/>
        <v>N/A</v>
      </c>
      <c r="X31" s="503" t="s">
        <v>457</v>
      </c>
      <c r="Y31" s="507" t="str">
        <f t="shared" si="22"/>
        <v>N/A</v>
      </c>
      <c r="Z31" s="503" t="str">
        <f t="shared" si="22"/>
        <v>N/A</v>
      </c>
      <c r="AA31" s="503" t="str">
        <f t="shared" si="22"/>
        <v>N/A</v>
      </c>
      <c r="AB31" s="503" t="str">
        <f t="shared" si="22"/>
        <v>N/A</v>
      </c>
      <c r="AC31" s="503" t="str">
        <f t="shared" si="22"/>
        <v>N/A</v>
      </c>
      <c r="AD31" s="507" t="str">
        <f t="shared" si="22"/>
        <v>N/A</v>
      </c>
      <c r="AE31" s="507" t="str">
        <f t="shared" si="22"/>
        <v>N/A</v>
      </c>
      <c r="AF31" s="507" t="str">
        <f t="shared" si="22"/>
        <v>N/A</v>
      </c>
      <c r="AG31" s="507" t="str">
        <f t="shared" si="22"/>
        <v>N/A</v>
      </c>
    </row>
    <row r="32" ht="14.25" customHeight="1" spans="1:33" x14ac:dyDescent="0.25" outlineLevel="1" collapsed="1">
      <c r="C32" s="504" t="s">
        <v>459</v>
      </c>
      <c r="D32" s="8"/>
      <c r="E32" s="8"/>
      <c r="F32" s="502" t="str">
        <f t="shared" si="17"/>
        <v>N/A</v>
      </c>
      <c r="G32" s="502" t="str">
        <f t="shared" si="17"/>
        <v>N/A</v>
      </c>
      <c r="H32" s="502" t="str">
        <f t="shared" si="17"/>
        <v>N/A</v>
      </c>
      <c r="I32" s="502" t="str">
        <f t="shared" si="17"/>
        <v>N/A</v>
      </c>
      <c r="J32" s="507" t="str">
        <f t="shared" ref="J32:AG32" si="23">IFERROR(J27/J$24,"N/A")</f>
        <v>N/A</v>
      </c>
      <c r="K32" s="502" t="str">
        <f t="shared" si="19"/>
        <v>N/A</v>
      </c>
      <c r="L32" s="502" t="str">
        <f t="shared" si="19"/>
        <v>N/A</v>
      </c>
      <c r="M32" s="502" t="str">
        <f t="shared" si="19"/>
        <v>N/A</v>
      </c>
      <c r="N32" s="502" t="str">
        <f t="shared" si="19"/>
        <v>N/A</v>
      </c>
      <c r="O32" s="507" t="str">
        <f t="shared" si="23"/>
        <v>N/A</v>
      </c>
      <c r="P32" s="502" t="str">
        <f>IFERROR(P27/P$24,"N/A")</f>
        <v>N/A</v>
      </c>
      <c r="Q32" s="502" t="str">
        <f>IFERROR(Q27/Q$24,"N/A")</f>
        <v>N/A</v>
      </c>
      <c r="R32" s="502" t="str">
        <f t="shared" si="20"/>
        <v>N/A</v>
      </c>
      <c r="S32" s="502" t="str">
        <f t="shared" si="20"/>
        <v>N/A</v>
      </c>
      <c r="T32" s="507" t="str">
        <f t="shared" si="23"/>
        <v>N/A</v>
      </c>
      <c r="U32" s="503" t="str">
        <f t="shared" si="21"/>
        <v>N/A</v>
      </c>
      <c r="V32" s="503" t="str">
        <f t="shared" si="21"/>
        <v>N/A</v>
      </c>
      <c r="W32" s="503" t="str">
        <f t="shared" si="21"/>
        <v>N/A</v>
      </c>
      <c r="X32" s="503" t="s">
        <v>457</v>
      </c>
      <c r="Y32" s="507" t="str">
        <f t="shared" si="23"/>
        <v>N/A</v>
      </c>
      <c r="Z32" s="503" t="str">
        <f t="shared" si="23"/>
        <v>N/A</v>
      </c>
      <c r="AA32" s="503" t="str">
        <f t="shared" si="23"/>
        <v>N/A</v>
      </c>
      <c r="AB32" s="503" t="str">
        <f t="shared" si="23"/>
        <v>N/A</v>
      </c>
      <c r="AC32" s="503" t="str">
        <f t="shared" si="23"/>
        <v>N/A</v>
      </c>
      <c r="AD32" s="507" t="str">
        <f t="shared" si="23"/>
        <v>N/A</v>
      </c>
      <c r="AE32" s="507" t="str">
        <f t="shared" si="23"/>
        <v>N/A</v>
      </c>
      <c r="AF32" s="507" t="str">
        <f t="shared" si="23"/>
        <v>N/A</v>
      </c>
      <c r="AG32" s="507" t="str">
        <f t="shared" si="23"/>
        <v>N/A</v>
      </c>
    </row>
    <row r="33" ht="14.25" customHeight="1" spans="1:33" x14ac:dyDescent="0.25">
      <c r="C33" s="504"/>
      <c r="D33" s="8"/>
      <c r="E33" s="8"/>
      <c r="F33" s="502"/>
      <c r="G33" s="502"/>
      <c r="H33" s="502"/>
      <c r="I33" s="502"/>
      <c r="J33" s="507"/>
      <c r="K33" s="502"/>
      <c r="L33" s="502"/>
      <c r="M33" s="502"/>
      <c r="N33" s="502"/>
      <c r="O33" s="507"/>
      <c r="P33" s="502"/>
      <c r="Q33" s="502"/>
      <c r="R33" s="502"/>
      <c r="S33" s="502"/>
      <c r="T33" s="507"/>
      <c r="U33" s="503"/>
      <c r="V33" s="503"/>
      <c r="W33" s="503"/>
      <c r="X33" s="503"/>
      <c r="Y33" s="507"/>
      <c r="Z33" s="503"/>
      <c r="AA33" s="503"/>
      <c r="AB33" s="503"/>
      <c r="AC33" s="503"/>
      <c r="AD33" s="507"/>
      <c r="AE33" s="507"/>
      <c r="AF33" s="507"/>
      <c r="AG33" s="507"/>
    </row>
    <row r="34" ht="14.25" customHeight="1" spans="1:33" x14ac:dyDescent="0.25">
      <c r="C34" s="8" t="s">
        <v>460</v>
      </c>
      <c r="D34" s="8"/>
      <c r="E34" s="8"/>
      <c r="F34" s="310">
        <f>SUM(F35:F40)</f>
        <v>644.1</v>
      </c>
      <c r="G34" s="310">
        <f>SUM(G35:G40)</f>
        <v>707.2</v>
      </c>
      <c r="H34" s="310">
        <f>SUM(H35:H40)</f>
        <v>727.8</v>
      </c>
      <c r="I34" s="310">
        <f>SUM(I35:I40)</f>
        <v>700.8</v>
      </c>
      <c r="J34" s="280">
        <f t="shared" ref="J34:J40" si="24">SUM(F34:I34)</f>
        <v>2779.9000000000005</v>
      </c>
      <c r="K34" s="310">
        <f>SUM(K35:K40)</f>
        <v>733</v>
      </c>
      <c r="L34" s="310">
        <f>SUM(L35:L40)</f>
        <v>814</v>
      </c>
      <c r="M34" s="310">
        <f>SUM(M35:M40)</f>
        <v>846</v>
      </c>
      <c r="N34" s="310">
        <f>SUM(N35:N40)</f>
        <v>803</v>
      </c>
      <c r="O34" s="280">
        <f t="shared" ref="O34:O40" si="25">SUM(K34:N34)</f>
        <v>3196</v>
      </c>
      <c r="P34" s="310">
        <f>SUM(P35:P40)</f>
        <v>804</v>
      </c>
      <c r="Q34" s="310">
        <f>SUM(Q35:Q40)</f>
        <v>861</v>
      </c>
      <c r="R34" s="310">
        <f>SUM(R35:R40)</f>
        <v>836</v>
      </c>
      <c r="S34" s="310">
        <f>SUM(S35:S40)</f>
        <v>800</v>
      </c>
      <c r="T34" s="280">
        <f t="shared" ref="T34:T40" si="26">SUM(P34:S34)</f>
        <v>3301</v>
      </c>
      <c r="U34" s="279">
        <f>SUM(U35:U40)</f>
        <v>1259.237084</v>
      </c>
      <c r="V34" s="279">
        <f>SUM(V35:V40)</f>
        <v>1308.3912619999999</v>
      </c>
      <c r="W34" s="279">
        <f>SUM(W35:W40)</f>
        <v>1302.0742799999998</v>
      </c>
      <c r="X34" s="279">
        <v>1349.85475275</v>
      </c>
      <c r="Y34" s="280">
        <f t="shared" ref="Y34:Y40" si="27">SUM(U34:X34)</f>
        <v>5219.55737875</v>
      </c>
      <c r="Z34" s="279">
        <f>SUM(Z35:Z40)</f>
        <v>1336.689676</v>
      </c>
      <c r="AA34" s="279">
        <f>SUM(AA35:AA40)</f>
        <v>1375.1071412</v>
      </c>
      <c r="AB34" s="279">
        <f>SUM(AB35:AB40)</f>
        <v>1380.3805340999997</v>
      </c>
      <c r="AC34" s="279">
        <f>SUM(AC35:AC40)</f>
        <v>1388.868906022</v>
      </c>
      <c r="AD34" s="280">
        <f t="shared" ref="AD34:AD40" si="28">SUM(Z34:AC34)</f>
        <v>5481.046257321999</v>
      </c>
      <c r="AE34" s="280">
        <f>SUM(AE35:AE40)</f>
        <v>5797.5610751163595</v>
      </c>
      <c r="AF34" s="280">
        <f>SUM(AF35:AF40)</f>
        <v>6051.176976658514</v>
      </c>
      <c r="AG34" s="280">
        <f>SUM(AG35:AG40)</f>
        <v>6321.881645493307</v>
      </c>
    </row>
    <row r="35" ht="14.25" customHeight="1" spans="1:33" x14ac:dyDescent="0.25">
      <c r="C35" s="130" t="str">
        <f t="shared" ref="C35:C40" si="29">C17&amp;" Operating Income"</f>
        <v>Collection Operating Income</v>
      </c>
      <c r="D35" s="8"/>
      <c r="E35" s="8"/>
      <c r="F35" s="497">
        <v>0</v>
      </c>
      <c r="G35" s="497">
        <v>0</v>
      </c>
      <c r="H35" s="497">
        <v>0</v>
      </c>
      <c r="I35" s="497">
        <v>0</v>
      </c>
      <c r="J35" s="498">
        <f t="shared" si="24"/>
        <v>0</v>
      </c>
      <c r="K35" s="497">
        <v>0</v>
      </c>
      <c r="L35" s="497">
        <v>0</v>
      </c>
      <c r="M35" s="497">
        <v>0</v>
      </c>
      <c r="N35" s="497">
        <v>0</v>
      </c>
      <c r="O35" s="498">
        <f t="shared" si="25"/>
        <v>0</v>
      </c>
      <c r="P35" s="497">
        <v>0</v>
      </c>
      <c r="Q35" s="497">
        <v>0</v>
      </c>
      <c r="R35" s="497">
        <v>0</v>
      </c>
      <c r="S35" s="497">
        <v>0</v>
      </c>
      <c r="T35" s="498">
        <f t="shared" si="26"/>
        <v>0</v>
      </c>
      <c r="U35" s="508">
        <f>U9*Drivers!U$7</f>
        <v>1202.059404</v>
      </c>
      <c r="V35" s="508">
        <f>V9*Drivers!V$7</f>
        <v>1243.1925919999999</v>
      </c>
      <c r="W35" s="508">
        <f>W9*Drivers!W$7</f>
        <v>1248.9195599999998</v>
      </c>
      <c r="X35" s="508">
        <v>1292.8154316</v>
      </c>
      <c r="Y35" s="498">
        <f t="shared" si="27"/>
        <v>4986.986987599999</v>
      </c>
      <c r="Z35" s="508">
        <f>Z9*Drivers!Z$7</f>
        <v>1277.0815512000001</v>
      </c>
      <c r="AA35" s="508">
        <f>AA9*Drivers!AA$7</f>
        <v>1307.1847578499999</v>
      </c>
      <c r="AB35" s="508">
        <f>AB9*Drivers!AB$7</f>
        <v>1324.9976128199996</v>
      </c>
      <c r="AC35" s="508">
        <f>AC9*Drivers!AC$7</f>
        <v>1329.160321132</v>
      </c>
      <c r="AD35" s="498">
        <f t="shared" si="28"/>
        <v>5238.4242430019995</v>
      </c>
      <c r="AE35" s="498">
        <f>AE9*Drivers!AE$7</f>
        <v>5538.086866590288</v>
      </c>
      <c r="AF35" s="498">
        <f>AF9*Drivers!AF$7</f>
        <v>5780.015171750756</v>
      </c>
      <c r="AG35" s="498">
        <f>AG9*Drivers!AG$7</f>
        <v>6034.33583930779</v>
      </c>
    </row>
    <row r="36" ht="14.25" customHeight="1" spans="1:33" x14ac:dyDescent="0.25">
      <c r="C36" s="130" t="str">
        <f t="shared" si="29"/>
        <v>Landfill Operating Income</v>
      </c>
      <c r="D36" s="8"/>
      <c r="E36" s="8"/>
      <c r="F36" s="497">
        <v>0</v>
      </c>
      <c r="G36" s="497">
        <v>0</v>
      </c>
      <c r="H36" s="497">
        <v>0</v>
      </c>
      <c r="I36" s="497">
        <v>0</v>
      </c>
      <c r="J36" s="498">
        <f t="shared" si="24"/>
        <v>0</v>
      </c>
      <c r="K36" s="497">
        <v>0</v>
      </c>
      <c r="L36" s="497">
        <v>0</v>
      </c>
      <c r="M36" s="497">
        <v>0</v>
      </c>
      <c r="N36" s="497">
        <v>0</v>
      </c>
      <c r="O36" s="498">
        <f t="shared" si="25"/>
        <v>0</v>
      </c>
      <c r="P36" s="497">
        <v>0</v>
      </c>
      <c r="Q36" s="497">
        <v>0</v>
      </c>
      <c r="R36" s="497">
        <v>0</v>
      </c>
      <c r="S36" s="497">
        <v>0</v>
      </c>
      <c r="T36" s="498">
        <f t="shared" si="26"/>
        <v>0</v>
      </c>
      <c r="U36" s="508">
        <f>U10*Drivers!U$12</f>
        <v>0</v>
      </c>
      <c r="V36" s="508">
        <f>V10*Drivers!V$12</f>
        <v>0</v>
      </c>
      <c r="W36" s="508">
        <f>W10*Drivers!W$12</f>
        <v>0</v>
      </c>
      <c r="X36" s="508">
        <v>0</v>
      </c>
      <c r="Y36" s="498">
        <f t="shared" si="27"/>
        <v>0</v>
      </c>
      <c r="Z36" s="508">
        <f>Z10*Drivers!Z$12</f>
        <v>0</v>
      </c>
      <c r="AA36" s="508">
        <f>AA10*Drivers!AA$12</f>
        <v>0</v>
      </c>
      <c r="AB36" s="508">
        <f>AB10*Drivers!AB$12</f>
        <v>0</v>
      </c>
      <c r="AC36" s="508">
        <f>AC10*Drivers!AC$12</f>
        <v>0</v>
      </c>
      <c r="AD36" s="498">
        <f t="shared" si="28"/>
        <v>0</v>
      </c>
      <c r="AE36" s="498">
        <f>AE10*Drivers!AE$12</f>
        <v>0</v>
      </c>
      <c r="AF36" s="498">
        <f>AF10*Drivers!AF$12</f>
        <v>0</v>
      </c>
      <c r="AG36" s="498">
        <f>AG10*Drivers!AG$12</f>
        <v>0</v>
      </c>
    </row>
    <row r="37" ht="14.25" customHeight="1" spans="1:33" x14ac:dyDescent="0.25">
      <c r="C37" s="130" t="str">
        <f t="shared" si="29"/>
        <v>Environmental solutions Operating Income</v>
      </c>
      <c r="D37" s="8"/>
      <c r="E37" s="8"/>
      <c r="F37" s="497">
        <v>0</v>
      </c>
      <c r="G37" s="497">
        <v>0</v>
      </c>
      <c r="H37" s="497">
        <v>0</v>
      </c>
      <c r="I37" s="497">
        <v>0</v>
      </c>
      <c r="J37" s="498">
        <f t="shared" si="24"/>
        <v>0</v>
      </c>
      <c r="K37" s="497">
        <v>0</v>
      </c>
      <c r="L37" s="497">
        <v>0</v>
      </c>
      <c r="M37" s="497">
        <v>0</v>
      </c>
      <c r="N37" s="497">
        <v>0</v>
      </c>
      <c r="O37" s="498">
        <f t="shared" si="25"/>
        <v>0</v>
      </c>
      <c r="P37" s="497">
        <v>0</v>
      </c>
      <c r="Q37" s="497">
        <v>0</v>
      </c>
      <c r="R37" s="497">
        <v>0</v>
      </c>
      <c r="S37" s="497">
        <v>0</v>
      </c>
      <c r="T37" s="498">
        <f t="shared" si="26"/>
        <v>0</v>
      </c>
      <c r="U37" s="508">
        <f>U11*Drivers!U$17</f>
        <v>0</v>
      </c>
      <c r="V37" s="508">
        <f>V11*Drivers!V$17</f>
        <v>0</v>
      </c>
      <c r="W37" s="508">
        <f>W11*Drivers!W$17</f>
        <v>0</v>
      </c>
      <c r="X37" s="508">
        <v>0</v>
      </c>
      <c r="Y37" s="498">
        <f t="shared" si="27"/>
        <v>0</v>
      </c>
      <c r="Z37" s="508">
        <f>Z11*Drivers!Z$17</f>
        <v>0</v>
      </c>
      <c r="AA37" s="508">
        <f>AA11*Drivers!AA$17</f>
        <v>0</v>
      </c>
      <c r="AB37" s="508">
        <f>AB11*Drivers!AB$17</f>
        <v>0</v>
      </c>
      <c r="AC37" s="508">
        <f>AC11*Drivers!AC$17</f>
        <v>0</v>
      </c>
      <c r="AD37" s="498">
        <f t="shared" si="28"/>
        <v>0</v>
      </c>
      <c r="AE37" s="498">
        <f>AE11*Drivers!AE$17</f>
        <v>0</v>
      </c>
      <c r="AF37" s="498">
        <f>AF11*Drivers!AF$17</f>
        <v>0</v>
      </c>
      <c r="AG37" s="498">
        <f>AG11*Drivers!AG$17</f>
        <v>0</v>
      </c>
    </row>
    <row r="38" ht="14.25" customHeight="1" spans="1:33" x14ac:dyDescent="0.25">
      <c r="C38" s="130" t="str">
        <f t="shared" si="29"/>
        <v>Transfer Operating Income</v>
      </c>
      <c r="D38" s="8"/>
      <c r="E38" s="8"/>
      <c r="F38" s="497">
        <v>0</v>
      </c>
      <c r="G38" s="497">
        <v>0</v>
      </c>
      <c r="H38" s="497">
        <v>0</v>
      </c>
      <c r="I38" s="497">
        <v>0</v>
      </c>
      <c r="J38" s="498">
        <f t="shared" si="24"/>
        <v>0</v>
      </c>
      <c r="K38" s="497">
        <v>0</v>
      </c>
      <c r="L38" s="497">
        <v>0</v>
      </c>
      <c r="M38" s="497">
        <v>0</v>
      </c>
      <c r="N38" s="497">
        <v>0</v>
      </c>
      <c r="O38" s="498">
        <f t="shared" si="25"/>
        <v>0</v>
      </c>
      <c r="P38" s="497">
        <v>0</v>
      </c>
      <c r="Q38" s="497">
        <v>0</v>
      </c>
      <c r="R38" s="497">
        <v>0</v>
      </c>
      <c r="S38" s="497">
        <v>0</v>
      </c>
      <c r="T38" s="498">
        <f t="shared" si="26"/>
        <v>0</v>
      </c>
      <c r="U38" s="508">
        <f>U12*Drivers!U$22</f>
        <v>27.5044</v>
      </c>
      <c r="V38" s="508">
        <f>V12*Drivers!V$22</f>
        <v>33.45498</v>
      </c>
      <c r="W38" s="508">
        <f>W12*Drivers!W$22</f>
        <v>28.06272</v>
      </c>
      <c r="X38" s="508">
        <v>30.1827708</v>
      </c>
      <c r="Y38" s="498">
        <f t="shared" si="27"/>
        <v>119.2048708</v>
      </c>
      <c r="Z38" s="508">
        <f>Z12*Drivers!Z$22</f>
        <v>29.0446464</v>
      </c>
      <c r="AA38" s="508">
        <f>AA12*Drivers!AA$22</f>
        <v>35.19463896</v>
      </c>
      <c r="AB38" s="508">
        <f>AB12*Drivers!AB$22</f>
        <v>29.437793279999994</v>
      </c>
      <c r="AC38" s="508">
        <f>AC12*Drivers!AC$22</f>
        <v>31.790584889999998</v>
      </c>
      <c r="AD38" s="498">
        <f t="shared" si="28"/>
        <v>125.46766352999998</v>
      </c>
      <c r="AE38" s="498">
        <f>AE12*Drivers!AE$22</f>
        <v>135.10069823325603</v>
      </c>
      <c r="AF38" s="498">
        <f>AF12*Drivers!AF$22</f>
        <v>143.01235063339058</v>
      </c>
      <c r="AG38" s="498">
        <f>AG12*Drivers!AG$22</f>
        <v>149.11693497185584</v>
      </c>
    </row>
    <row r="39" ht="14.25" customHeight="1" spans="1:33" x14ac:dyDescent="0.25">
      <c r="C39" s="130" t="str">
        <f t="shared" si="29"/>
        <v>Other Operating Income</v>
      </c>
      <c r="D39" s="8"/>
      <c r="E39" s="8"/>
      <c r="F39" s="497">
        <v>644.1</v>
      </c>
      <c r="G39" s="497">
        <v>707.2</v>
      </c>
      <c r="H39" s="497">
        <v>727.8</v>
      </c>
      <c r="I39" s="497">
        <v>700.8</v>
      </c>
      <c r="J39" s="498">
        <f t="shared" si="24"/>
        <v>2779.9000000000005</v>
      </c>
      <c r="K39" s="497">
        <v>733</v>
      </c>
      <c r="L39" s="497">
        <v>814</v>
      </c>
      <c r="M39" s="497">
        <v>846</v>
      </c>
      <c r="N39" s="497">
        <v>803</v>
      </c>
      <c r="O39" s="498">
        <f t="shared" si="25"/>
        <v>3196</v>
      </c>
      <c r="P39" s="497">
        <v>804</v>
      </c>
      <c r="Q39" s="497">
        <v>861</v>
      </c>
      <c r="R39" s="497">
        <v>836</v>
      </c>
      <c r="S39" s="497">
        <v>800</v>
      </c>
      <c r="T39" s="498">
        <f t="shared" si="26"/>
        <v>3301</v>
      </c>
      <c r="U39" s="508">
        <f>U13*Drivers!U$27</f>
        <v>29.67328</v>
      </c>
      <c r="V39" s="508">
        <f>V13*Drivers!V$27</f>
        <v>31.743689999999994</v>
      </c>
      <c r="W39" s="508">
        <f>W13*Drivers!W$27</f>
        <v>25.092</v>
      </c>
      <c r="X39" s="508">
        <v>26.856550350000003</v>
      </c>
      <c r="Y39" s="498">
        <f t="shared" si="27"/>
        <v>113.36552035</v>
      </c>
      <c r="Z39" s="508">
        <f>Z13*Drivers!Z$27</f>
        <v>30.5634784</v>
      </c>
      <c r="AA39" s="508">
        <f>AA13*Drivers!AA$27</f>
        <v>32.72774438999999</v>
      </c>
      <c r="AB39" s="508">
        <f>AB13*Drivers!AB$27</f>
        <v>25.945127999999997</v>
      </c>
      <c r="AC39" s="508">
        <f>AC13*Drivers!AC$27</f>
        <v>27.918000000000003</v>
      </c>
      <c r="AD39" s="498">
        <f t="shared" si="28"/>
        <v>117.15435079</v>
      </c>
      <c r="AE39" s="498">
        <f>AE13*Drivers!AE$27</f>
        <v>124.37351029281601</v>
      </c>
      <c r="AF39" s="498">
        <f>AF13*Drivers!AF$27</f>
        <v>128.14945427436768</v>
      </c>
      <c r="AG39" s="498">
        <f>AG13*Drivers!AG$27</f>
        <v>138.42887121366155</v>
      </c>
    </row>
    <row r="40" ht="14.25" customHeight="1" spans="1:33" x14ac:dyDescent="0.25">
      <c r="C40" s="130" t="str">
        <f t="shared" si="29"/>
        <v>Professional Services and Other Operating Income</v>
      </c>
      <c r="D40" s="8"/>
      <c r="E40" s="8"/>
      <c r="F40" s="497">
        <v>0</v>
      </c>
      <c r="G40" s="497">
        <v>0</v>
      </c>
      <c r="H40" s="497">
        <v>0</v>
      </c>
      <c r="I40" s="497">
        <v>0</v>
      </c>
      <c r="J40" s="498">
        <f t="shared" si="24"/>
        <v>0</v>
      </c>
      <c r="K40" s="497">
        <v>0</v>
      </c>
      <c r="L40" s="497">
        <v>0</v>
      </c>
      <c r="M40" s="497">
        <v>0</v>
      </c>
      <c r="N40" s="497">
        <v>0</v>
      </c>
      <c r="O40" s="498">
        <f t="shared" si="25"/>
        <v>0</v>
      </c>
      <c r="P40" s="497">
        <v>0</v>
      </c>
      <c r="Q40" s="497">
        <v>0</v>
      </c>
      <c r="R40" s="497">
        <v>0</v>
      </c>
      <c r="S40" s="497">
        <v>0</v>
      </c>
      <c r="T40" s="498">
        <f t="shared" si="26"/>
        <v>0</v>
      </c>
      <c r="U40" s="508">
        <f>U14*Drivers!U$32</f>
        <v>0</v>
      </c>
      <c r="V40" s="508">
        <f>V14*Drivers!V$32</f>
        <v>0</v>
      </c>
      <c r="W40" s="508">
        <f>W14*Drivers!W$32</f>
        <v>0</v>
      </c>
      <c r="X40" s="508">
        <v>0</v>
      </c>
      <c r="Y40" s="498">
        <f t="shared" si="27"/>
        <v>0</v>
      </c>
      <c r="Z40" s="508">
        <f>Z14*Drivers!Z$32</f>
        <v>0</v>
      </c>
      <c r="AA40" s="508">
        <f>AA14*Drivers!AA$32</f>
        <v>0</v>
      </c>
      <c r="AB40" s="508">
        <f>AB14*Drivers!AB$32</f>
        <v>0</v>
      </c>
      <c r="AC40" s="508">
        <f>AC14*Drivers!AC$32</f>
        <v>0</v>
      </c>
      <c r="AD40" s="498">
        <f t="shared" si="28"/>
        <v>0</v>
      </c>
      <c r="AE40" s="498">
        <f>AE14*Drivers!AE$32</f>
        <v>0</v>
      </c>
      <c r="AF40" s="498">
        <f>AF14*Drivers!AF$32</f>
        <v>0</v>
      </c>
      <c r="AG40" s="498">
        <f>AG14*Drivers!AG$32</f>
        <v>0</v>
      </c>
    </row>
    <row r="41" ht="14.25" customHeight="1" spans="1:33" x14ac:dyDescent="0.25">
      <c r="C41" s="130"/>
      <c r="D41" s="8"/>
      <c r="E41" s="8"/>
      <c r="F41" s="509"/>
      <c r="G41" s="509"/>
      <c r="H41" s="509"/>
      <c r="I41" s="509"/>
      <c r="J41" s="160"/>
      <c r="K41" s="509"/>
      <c r="L41" s="509"/>
      <c r="M41" s="509"/>
      <c r="N41" s="509"/>
      <c r="O41" s="160"/>
      <c r="P41" s="509"/>
      <c r="Q41" s="509"/>
      <c r="R41" s="509"/>
      <c r="S41" s="509"/>
      <c r="T41" s="160"/>
      <c r="U41" s="510"/>
      <c r="V41" s="510"/>
      <c r="W41" s="510"/>
      <c r="X41" s="510"/>
      <c r="Y41" s="160"/>
      <c r="Z41" s="510"/>
      <c r="AA41" s="510"/>
      <c r="AB41" s="510"/>
      <c r="AC41" s="510"/>
      <c r="AD41" s="160"/>
      <c r="AE41" s="160"/>
      <c r="AF41" s="160"/>
      <c r="AG41" s="160"/>
    </row>
    <row r="42" ht="14.25" customHeight="1" spans="1:33" x14ac:dyDescent="0.25">
      <c r="C42" s="111" t="s">
        <v>461</v>
      </c>
      <c r="D42" s="8"/>
      <c r="E42" s="8"/>
      <c r="F42" s="511">
        <f>F34-SUM(F35:F40)</f>
        <v>0</v>
      </c>
      <c r="G42" s="511">
        <f>G34-SUM(G35:G40)</f>
        <v>0</v>
      </c>
      <c r="H42" s="511">
        <f>H34-SUM(H35:H40)</f>
        <v>0</v>
      </c>
      <c r="I42" s="511">
        <f>I34-SUM(I35:I40)</f>
        <v>0</v>
      </c>
      <c r="J42" s="512">
        <f t="shared" ref="J42:AG42" si="30">J34-SUM(J35:J40)</f>
        <v>0</v>
      </c>
      <c r="K42" s="511">
        <f>K34-SUM(K35:K40)</f>
        <v>0</v>
      </c>
      <c r="L42" s="511">
        <f>L34-SUM(L35:L40)</f>
        <v>0</v>
      </c>
      <c r="M42" s="511">
        <f>M34-SUM(M35:M40)</f>
        <v>0</v>
      </c>
      <c r="N42" s="511">
        <f>N34-SUM(N35:N40)</f>
        <v>0</v>
      </c>
      <c r="O42" s="512">
        <f t="shared" si="30"/>
        <v>0</v>
      </c>
      <c r="P42" s="511">
        <f>P34-SUM(P35:P40)</f>
        <v>0</v>
      </c>
      <c r="Q42" s="511">
        <f>Q34-SUM(Q35:Q40)</f>
        <v>0</v>
      </c>
      <c r="R42" s="511">
        <f>R34-SUM(R35:R40)</f>
        <v>0</v>
      </c>
      <c r="S42" s="511">
        <f>S34-SUM(S35:S40)</f>
        <v>0</v>
      </c>
      <c r="T42" s="512">
        <f t="shared" si="30"/>
        <v>0</v>
      </c>
      <c r="U42" s="513">
        <f>U34-SUM(U35:U40)</f>
        <v>0</v>
      </c>
      <c r="V42" s="513">
        <f>V34-SUM(V35:V40)</f>
        <v>0</v>
      </c>
      <c r="W42" s="513">
        <f>W34-SUM(W35:W40)</f>
        <v>0</v>
      </c>
      <c r="X42" s="513">
        <v>0</v>
      </c>
      <c r="Y42" s="512">
        <f t="shared" si="30"/>
        <v>0</v>
      </c>
      <c r="Z42" s="513">
        <f t="shared" si="30"/>
        <v>0</v>
      </c>
      <c r="AA42" s="513">
        <f t="shared" si="30"/>
        <v>0</v>
      </c>
      <c r="AB42" s="513">
        <f t="shared" si="30"/>
        <v>0</v>
      </c>
      <c r="AC42" s="513">
        <f t="shared" si="30"/>
        <v>0</v>
      </c>
      <c r="AD42" s="512">
        <f t="shared" si="30"/>
        <v>0</v>
      </c>
      <c r="AE42" s="512">
        <f t="shared" si="30"/>
        <v>0</v>
      </c>
      <c r="AF42" s="512">
        <f t="shared" si="30"/>
        <v>0</v>
      </c>
      <c r="AG42" s="512">
        <f t="shared" si="30"/>
        <v>0</v>
      </c>
    </row>
    <row r="43" ht="14.25" customHeight="1" spans="1:33" x14ac:dyDescent="0.25">
      <c r="C43" s="8"/>
      <c r="D43" s="8"/>
      <c r="E43" s="8"/>
      <c r="F43" s="312"/>
      <c r="G43" s="312"/>
      <c r="H43" s="312"/>
      <c r="I43" s="312"/>
      <c r="J43" s="160"/>
      <c r="K43" s="312"/>
      <c r="L43" s="312"/>
      <c r="M43" s="312"/>
      <c r="N43" s="312"/>
      <c r="O43" s="160"/>
      <c r="P43" s="312"/>
      <c r="Q43" s="312"/>
      <c r="R43" s="312"/>
      <c r="S43" s="312"/>
      <c r="T43" s="160"/>
      <c r="U43" s="315"/>
      <c r="V43" s="315"/>
      <c r="W43" s="315"/>
      <c r="X43" s="315"/>
      <c r="Y43" s="160"/>
      <c r="Z43" s="315"/>
      <c r="AA43" s="315"/>
      <c r="AB43" s="315"/>
      <c r="AC43" s="315"/>
      <c r="AD43" s="160"/>
      <c r="AE43" s="160"/>
      <c r="AF43" s="160"/>
      <c r="AG43" s="160"/>
    </row>
    <row r="44" ht="14.25" customHeight="1" spans="1:33" x14ac:dyDescent="0.25">
      <c r="C44" s="8" t="s">
        <v>462</v>
      </c>
      <c r="D44" s="8"/>
      <c r="E44" s="8"/>
      <c r="F44" s="502"/>
      <c r="G44" s="502"/>
      <c r="H44" s="502"/>
      <c r="I44" s="502"/>
      <c r="J44" s="160"/>
      <c r="K44" s="502"/>
      <c r="L44" s="502"/>
      <c r="M44" s="502"/>
      <c r="N44" s="502"/>
      <c r="O44" s="160"/>
      <c r="P44" s="502"/>
      <c r="Q44" s="502"/>
      <c r="R44" s="502"/>
      <c r="S44" s="502"/>
      <c r="T44" s="160"/>
      <c r="U44" s="503"/>
      <c r="V44" s="503"/>
      <c r="W44" s="503"/>
      <c r="X44" s="503"/>
      <c r="Y44" s="160"/>
      <c r="Z44" s="503"/>
      <c r="AA44" s="503"/>
      <c r="AB44" s="503"/>
      <c r="AC44" s="503"/>
      <c r="AD44" s="160"/>
      <c r="AE44" s="160"/>
      <c r="AF44" s="160"/>
      <c r="AG44" s="160"/>
    </row>
    <row r="45" ht="14.25" customHeight="1" spans="1:33" x14ac:dyDescent="0.25">
      <c r="C45" s="130" t="str">
        <f t="shared" ref="C45:C50" si="31">C17</f>
        <v>Collection</v>
      </c>
      <c r="D45" s="8"/>
      <c r="E45" s="8"/>
      <c r="F45" s="394">
        <f t="shared" ref="F45:I50" si="32">IFERROR(F35/F$34,"N/A")</f>
        <v>1</v>
      </c>
      <c r="G45" s="394">
        <f t="shared" si="32"/>
        <v>1</v>
      </c>
      <c r="H45" s="394">
        <f t="shared" si="32"/>
        <v>1</v>
      </c>
      <c r="I45" s="394">
        <f t="shared" si="32"/>
        <v>1</v>
      </c>
      <c r="J45" s="395">
        <f t="shared" ref="J45:AG45" si="33">IFERROR(J35/J$34,"N/A")</f>
        <v>1</v>
      </c>
      <c r="K45" s="394">
        <f t="shared" ref="K45:N50" si="34">IFERROR(K35/K$34,"N/A")</f>
        <v>1</v>
      </c>
      <c r="L45" s="394">
        <f t="shared" si="34"/>
        <v>1</v>
      </c>
      <c r="M45" s="394">
        <f t="shared" si="34"/>
        <v>1</v>
      </c>
      <c r="N45" s="394">
        <f t="shared" si="34"/>
        <v>1</v>
      </c>
      <c r="O45" s="395">
        <f t="shared" si="33"/>
        <v>1</v>
      </c>
      <c r="P45" s="394">
        <f t="shared" ref="P45:S50" si="35">IFERROR(P35/P$34,"N/A")</f>
        <v>1</v>
      </c>
      <c r="Q45" s="394">
        <f t="shared" si="35"/>
        <v>1</v>
      </c>
      <c r="R45" s="394">
        <f t="shared" si="35"/>
        <v>1</v>
      </c>
      <c r="S45" s="394">
        <f t="shared" si="35"/>
        <v>1</v>
      </c>
      <c r="T45" s="395">
        <f t="shared" si="33"/>
        <v>1</v>
      </c>
      <c r="U45" s="396">
        <f t="shared" ref="U45:W50" si="36">IFERROR(U35/U$34,"N/A")</f>
        <v>0.9545933956944997</v>
      </c>
      <c r="V45" s="396">
        <f t="shared" si="36"/>
        <v>0.9501688280153006</v>
      </c>
      <c r="W45" s="396">
        <f t="shared" si="36"/>
        <v>0.9591768911985574</v>
      </c>
      <c r="X45" s="396">
        <v>0.9577441046647454</v>
      </c>
      <c r="Y45" s="395">
        <f t="shared" si="33"/>
        <v>0.9554425070415267</v>
      </c>
      <c r="Z45" s="396">
        <f t="shared" si="33"/>
        <v>0.9554061605545012</v>
      </c>
      <c r="AA45" s="396">
        <f t="shared" si="33"/>
        <v>0.9506057518611045</v>
      </c>
      <c r="AB45" s="396">
        <f t="shared" si="33"/>
        <v>0.9598785118220249</v>
      </c>
      <c r="AC45" s="396">
        <f t="shared" si="33"/>
        <v>0.9570092003420126</v>
      </c>
      <c r="AD45" s="395">
        <f t="shared" si="33"/>
        <v>0.9557343611183929</v>
      </c>
      <c r="AE45" s="395">
        <f t="shared" si="33"/>
        <v>0.9552442475095678</v>
      </c>
      <c r="AF45" s="395">
        <f t="shared" si="33"/>
        <v>0.9551885846416783</v>
      </c>
      <c r="AG45" s="395">
        <f t="shared" si="33"/>
        <v>0.9545157878128736</v>
      </c>
    </row>
    <row r="46" ht="14.25" customHeight="1" spans="1:33" x14ac:dyDescent="0.25">
      <c r="C46" s="130" t="str">
        <f t="shared" si="31"/>
        <v>Landfill</v>
      </c>
      <c r="D46" s="8"/>
      <c r="E46" s="8"/>
      <c r="F46" s="394">
        <f t="shared" si="32"/>
        <v>0</v>
      </c>
      <c r="G46" s="394">
        <f t="shared" si="32"/>
        <v>0</v>
      </c>
      <c r="H46" s="394">
        <f t="shared" si="32"/>
        <v>0</v>
      </c>
      <c r="I46" s="394">
        <f t="shared" si="32"/>
        <v>0</v>
      </c>
      <c r="J46" s="395">
        <f t="shared" ref="J46:AG46" si="37">IFERROR(J36/J$34,"N/A")</f>
        <v>0</v>
      </c>
      <c r="K46" s="394">
        <f t="shared" si="34"/>
        <v>0</v>
      </c>
      <c r="L46" s="394">
        <f t="shared" si="34"/>
        <v>0</v>
      </c>
      <c r="M46" s="394">
        <f t="shared" si="34"/>
        <v>0</v>
      </c>
      <c r="N46" s="394">
        <f t="shared" si="34"/>
        <v>0</v>
      </c>
      <c r="O46" s="395">
        <f t="shared" si="37"/>
        <v>0</v>
      </c>
      <c r="P46" s="394">
        <f t="shared" ref="P46:Q50" si="38">IFERROR(P36/P$34,"N/A")</f>
        <v>0</v>
      </c>
      <c r="Q46" s="394">
        <f t="shared" si="38"/>
        <v>0</v>
      </c>
      <c r="R46" s="394">
        <f t="shared" si="35"/>
        <v>0</v>
      </c>
      <c r="S46" s="394">
        <f t="shared" si="35"/>
        <v>0</v>
      </c>
      <c r="T46" s="395">
        <f t="shared" si="37"/>
        <v>0</v>
      </c>
      <c r="U46" s="396">
        <f t="shared" si="36"/>
        <v>0</v>
      </c>
      <c r="V46" s="396">
        <f t="shared" si="36"/>
        <v>0</v>
      </c>
      <c r="W46" s="396">
        <f t="shared" si="36"/>
        <v>0</v>
      </c>
      <c r="X46" s="396">
        <v>0</v>
      </c>
      <c r="Y46" s="395">
        <f t="shared" si="37"/>
        <v>0</v>
      </c>
      <c r="Z46" s="396">
        <f t="shared" si="37"/>
        <v>0</v>
      </c>
      <c r="AA46" s="396">
        <f t="shared" si="37"/>
        <v>0</v>
      </c>
      <c r="AB46" s="396">
        <f t="shared" si="37"/>
        <v>0</v>
      </c>
      <c r="AC46" s="396">
        <f t="shared" si="37"/>
        <v>0</v>
      </c>
      <c r="AD46" s="395">
        <f t="shared" si="37"/>
        <v>0</v>
      </c>
      <c r="AE46" s="395">
        <f t="shared" si="37"/>
        <v>0</v>
      </c>
      <c r="AF46" s="395">
        <f t="shared" si="37"/>
        <v>0</v>
      </c>
      <c r="AG46" s="395">
        <f t="shared" si="37"/>
        <v>0</v>
      </c>
    </row>
    <row r="47" ht="14.25" customHeight="1" spans="1:33" x14ac:dyDescent="0.25">
      <c r="C47" s="130" t="str">
        <f t="shared" si="31"/>
        <v>Environmental solutions</v>
      </c>
      <c r="D47" s="8"/>
      <c r="E47" s="8"/>
      <c r="F47" s="394">
        <f t="shared" si="32"/>
        <v>0</v>
      </c>
      <c r="G47" s="394">
        <f t="shared" si="32"/>
        <v>0</v>
      </c>
      <c r="H47" s="394">
        <f t="shared" si="32"/>
        <v>0</v>
      </c>
      <c r="I47" s="394">
        <f t="shared" si="32"/>
        <v>0</v>
      </c>
      <c r="J47" s="395">
        <f t="shared" ref="J47:AG47" si="39">IFERROR(J37/J$34,"N/A")</f>
        <v>0</v>
      </c>
      <c r="K47" s="394">
        <f t="shared" si="34"/>
        <v>0</v>
      </c>
      <c r="L47" s="394">
        <f t="shared" si="34"/>
        <v>0</v>
      </c>
      <c r="M47" s="394">
        <f t="shared" si="34"/>
        <v>0</v>
      </c>
      <c r="N47" s="394">
        <f t="shared" si="34"/>
        <v>0</v>
      </c>
      <c r="O47" s="395">
        <f t="shared" si="39"/>
        <v>0</v>
      </c>
      <c r="P47" s="394">
        <f t="shared" si="38"/>
        <v>0</v>
      </c>
      <c r="Q47" s="394">
        <f t="shared" si="38"/>
        <v>0</v>
      </c>
      <c r="R47" s="394">
        <f t="shared" si="35"/>
        <v>0</v>
      </c>
      <c r="S47" s="394">
        <f t="shared" si="35"/>
        <v>0</v>
      </c>
      <c r="T47" s="395">
        <f t="shared" si="39"/>
        <v>0</v>
      </c>
      <c r="U47" s="396">
        <f t="shared" si="36"/>
        <v>0</v>
      </c>
      <c r="V47" s="396">
        <f t="shared" si="36"/>
        <v>0</v>
      </c>
      <c r="W47" s="396">
        <f t="shared" si="36"/>
        <v>0</v>
      </c>
      <c r="X47" s="396">
        <v>0</v>
      </c>
      <c r="Y47" s="395">
        <f t="shared" si="39"/>
        <v>0</v>
      </c>
      <c r="Z47" s="396">
        <f t="shared" si="39"/>
        <v>0</v>
      </c>
      <c r="AA47" s="396">
        <f t="shared" si="39"/>
        <v>0</v>
      </c>
      <c r="AB47" s="396">
        <f t="shared" si="39"/>
        <v>0</v>
      </c>
      <c r="AC47" s="396">
        <f t="shared" si="39"/>
        <v>0</v>
      </c>
      <c r="AD47" s="395">
        <f t="shared" si="39"/>
        <v>0</v>
      </c>
      <c r="AE47" s="395">
        <f t="shared" si="39"/>
        <v>0</v>
      </c>
      <c r="AF47" s="395">
        <f t="shared" si="39"/>
        <v>0</v>
      </c>
      <c r="AG47" s="395">
        <f t="shared" si="39"/>
        <v>0</v>
      </c>
    </row>
    <row r="48" ht="14.25" customHeight="1" spans="1:33" x14ac:dyDescent="0.25">
      <c r="C48" s="130" t="str">
        <f t="shared" si="31"/>
        <v>Transfer</v>
      </c>
      <c r="D48" s="8"/>
      <c r="E48" s="8"/>
      <c r="F48" s="394">
        <f t="shared" si="32"/>
        <v>0</v>
      </c>
      <c r="G48" s="394">
        <f t="shared" si="32"/>
        <v>0</v>
      </c>
      <c r="H48" s="394">
        <f t="shared" si="32"/>
        <v>0</v>
      </c>
      <c r="I48" s="394">
        <f t="shared" si="32"/>
        <v>0</v>
      </c>
      <c r="J48" s="395">
        <f t="shared" ref="J48:AG48" si="40">IFERROR(J38/J$34,"N/A")</f>
        <v>0</v>
      </c>
      <c r="K48" s="394">
        <f t="shared" si="34"/>
        <v>0</v>
      </c>
      <c r="L48" s="394">
        <f t="shared" si="34"/>
        <v>0</v>
      </c>
      <c r="M48" s="394">
        <f t="shared" si="34"/>
        <v>0</v>
      </c>
      <c r="N48" s="394">
        <f t="shared" si="34"/>
        <v>0</v>
      </c>
      <c r="O48" s="395">
        <f t="shared" si="40"/>
        <v>0</v>
      </c>
      <c r="P48" s="394">
        <f t="shared" si="38"/>
        <v>0</v>
      </c>
      <c r="Q48" s="394">
        <f t="shared" si="38"/>
        <v>0</v>
      </c>
      <c r="R48" s="394">
        <f t="shared" si="35"/>
        <v>0</v>
      </c>
      <c r="S48" s="394">
        <f t="shared" si="35"/>
        <v>0</v>
      </c>
      <c r="T48" s="395">
        <f t="shared" si="40"/>
        <v>0</v>
      </c>
      <c r="U48" s="396">
        <f t="shared" si="36"/>
        <v>0.02184211404625374</v>
      </c>
      <c r="V48" s="396">
        <f t="shared" si="36"/>
        <v>0.02556955321519107</v>
      </c>
      <c r="W48" s="396">
        <f t="shared" si="36"/>
        <v>0.021552318812410612</v>
      </c>
      <c r="X48" s="396">
        <v>0.022360013726299043</v>
      </c>
      <c r="Y48" s="395">
        <f t="shared" si="40"/>
        <v>0.02283811866602138</v>
      </c>
      <c r="Z48" s="396">
        <f t="shared" si="40"/>
        <v>0.021728787856666293</v>
      </c>
      <c r="AA48" s="396">
        <f t="shared" si="40"/>
        <v>0.025594106746683807</v>
      </c>
      <c r="AB48" s="396">
        <f t="shared" si="40"/>
        <v>0.021325853670628055</v>
      </c>
      <c r="AC48" s="396">
        <f t="shared" si="40"/>
        <v>0.02288955044796462</v>
      </c>
      <c r="AD48" s="395">
        <f t="shared" si="40"/>
        <v>0.022891188586921834</v>
      </c>
      <c r="AE48" s="395">
        <f t="shared" si="40"/>
        <v>0.023303022854406844</v>
      </c>
      <c r="AF48" s="395">
        <f t="shared" si="40"/>
        <v>0.023633807304767118</v>
      </c>
      <c r="AG48" s="395">
        <f t="shared" si="40"/>
        <v>0.023587429081048543</v>
      </c>
    </row>
    <row r="49" ht="14.25" customHeight="1" spans="1:33" x14ac:dyDescent="0.25">
      <c r="C49" s="130" t="str">
        <f t="shared" si="31"/>
        <v>Other</v>
      </c>
      <c r="D49" s="8"/>
      <c r="E49" s="8"/>
      <c r="F49" s="394">
        <f t="shared" si="32"/>
        <v>0</v>
      </c>
      <c r="G49" s="394">
        <f t="shared" si="32"/>
        <v>0</v>
      </c>
      <c r="H49" s="394">
        <f t="shared" si="32"/>
        <v>0</v>
      </c>
      <c r="I49" s="394">
        <f t="shared" si="32"/>
        <v>0</v>
      </c>
      <c r="J49" s="395">
        <f t="shared" ref="J49:AG49" si="41">IFERROR(J39/J$34,"N/A")</f>
        <v>0</v>
      </c>
      <c r="K49" s="394">
        <f t="shared" si="34"/>
        <v>0</v>
      </c>
      <c r="L49" s="394">
        <f t="shared" si="34"/>
        <v>0</v>
      </c>
      <c r="M49" s="394">
        <f t="shared" si="34"/>
        <v>0</v>
      </c>
      <c r="N49" s="394">
        <f t="shared" si="34"/>
        <v>0</v>
      </c>
      <c r="O49" s="395">
        <f t="shared" si="41"/>
        <v>0</v>
      </c>
      <c r="P49" s="394">
        <f t="shared" si="38"/>
        <v>0</v>
      </c>
      <c r="Q49" s="394">
        <f t="shared" si="38"/>
        <v>0</v>
      </c>
      <c r="R49" s="394">
        <f t="shared" si="35"/>
        <v>0</v>
      </c>
      <c r="S49" s="394">
        <f t="shared" si="35"/>
        <v>0</v>
      </c>
      <c r="T49" s="395">
        <f t="shared" si="41"/>
        <v>0</v>
      </c>
      <c r="U49" s="396">
        <f t="shared" si="36"/>
        <v>0.023564490259246524</v>
      </c>
      <c r="V49" s="396">
        <f t="shared" si="36"/>
        <v>0.02426161876950841</v>
      </c>
      <c r="W49" s="396">
        <f t="shared" si="36"/>
        <v>0.019270789989031964</v>
      </c>
      <c r="X49" s="396">
        <v>0.019895881608955578</v>
      </c>
      <c r="Y49" s="395">
        <f t="shared" si="41"/>
        <v>0.02171937429245183</v>
      </c>
      <c r="Z49" s="396">
        <f t="shared" si="41"/>
        <v>0.02286505158883265</v>
      </c>
      <c r="AA49" s="396">
        <f t="shared" si="41"/>
        <v>0.02380014139221168</v>
      </c>
      <c r="AB49" s="396">
        <f t="shared" si="41"/>
        <v>0.018795634507346972</v>
      </c>
      <c r="AC49" s="396">
        <f t="shared" si="41"/>
        <v>0.020101249210022834</v>
      </c>
      <c r="AD49" s="395">
        <f t="shared" si="41"/>
        <v>0.021374450294685304</v>
      </c>
      <c r="AE49" s="395">
        <f t="shared" si="41"/>
        <v>0.0214527296360254</v>
      </c>
      <c r="AF49" s="395">
        <f t="shared" si="41"/>
        <v>0.021177608053554627</v>
      </c>
      <c r="AG49" s="395">
        <f t="shared" si="41"/>
        <v>0.02189678310607786</v>
      </c>
    </row>
    <row r="50" ht="14.25" customHeight="1" spans="1:33" x14ac:dyDescent="0.25">
      <c r="C50" s="130" t="str">
        <f t="shared" si="31"/>
        <v>Professional Services and Other</v>
      </c>
      <c r="D50" s="8"/>
      <c r="E50" s="8"/>
      <c r="F50" s="394">
        <f t="shared" si="32"/>
        <v>0</v>
      </c>
      <c r="G50" s="394">
        <f t="shared" si="32"/>
        <v>0</v>
      </c>
      <c r="H50" s="394">
        <f t="shared" si="32"/>
        <v>0</v>
      </c>
      <c r="I50" s="394">
        <f t="shared" si="32"/>
        <v>0</v>
      </c>
      <c r="J50" s="395">
        <f t="shared" ref="J50:AG50" si="42">IFERROR(J40/J$34,"N/A")</f>
        <v>0</v>
      </c>
      <c r="K50" s="394">
        <f t="shared" si="34"/>
        <v>0</v>
      </c>
      <c r="L50" s="394">
        <f t="shared" si="34"/>
        <v>0</v>
      </c>
      <c r="M50" s="394">
        <f t="shared" si="34"/>
        <v>0</v>
      </c>
      <c r="N50" s="394">
        <f t="shared" si="34"/>
        <v>0</v>
      </c>
      <c r="O50" s="395">
        <f t="shared" si="42"/>
        <v>0</v>
      </c>
      <c r="P50" s="394">
        <f t="shared" si="38"/>
        <v>0</v>
      </c>
      <c r="Q50" s="394">
        <f t="shared" si="38"/>
        <v>0</v>
      </c>
      <c r="R50" s="394">
        <f t="shared" si="35"/>
        <v>0</v>
      </c>
      <c r="S50" s="394">
        <f t="shared" si="35"/>
        <v>0</v>
      </c>
      <c r="T50" s="395">
        <f t="shared" si="42"/>
        <v>0</v>
      </c>
      <c r="U50" s="396">
        <f t="shared" si="36"/>
        <v>0</v>
      </c>
      <c r="V50" s="396">
        <f t="shared" si="36"/>
        <v>0</v>
      </c>
      <c r="W50" s="396">
        <f t="shared" si="36"/>
        <v>0</v>
      </c>
      <c r="X50" s="396">
        <v>0</v>
      </c>
      <c r="Y50" s="395">
        <f t="shared" si="42"/>
        <v>0</v>
      </c>
      <c r="Z50" s="396">
        <f t="shared" si="42"/>
        <v>0</v>
      </c>
      <c r="AA50" s="396">
        <f t="shared" si="42"/>
        <v>0</v>
      </c>
      <c r="AB50" s="396">
        <f t="shared" si="42"/>
        <v>0</v>
      </c>
      <c r="AC50" s="396">
        <f t="shared" si="42"/>
        <v>0</v>
      </c>
      <c r="AD50" s="395">
        <f t="shared" si="42"/>
        <v>0</v>
      </c>
      <c r="AE50" s="395">
        <f t="shared" si="42"/>
        <v>0</v>
      </c>
      <c r="AF50" s="395">
        <f t="shared" si="42"/>
        <v>0</v>
      </c>
      <c r="AG50" s="395">
        <f t="shared" si="42"/>
        <v>0</v>
      </c>
    </row>
    <row r="51" ht="14.25" customHeight="1" spans="1:33" x14ac:dyDescent="0.25">
      <c r="C51" s="130"/>
      <c r="D51" s="8"/>
      <c r="E51" s="8"/>
      <c r="F51" s="394"/>
      <c r="G51" s="394"/>
      <c r="H51" s="394"/>
      <c r="I51" s="394"/>
      <c r="J51" s="395"/>
      <c r="K51" s="394"/>
      <c r="L51" s="394"/>
      <c r="M51" s="394"/>
      <c r="N51" s="394"/>
      <c r="O51" s="395"/>
      <c r="P51" s="394"/>
      <c r="Q51" s="394"/>
      <c r="R51" s="394"/>
      <c r="S51" s="394"/>
      <c r="T51" s="395"/>
      <c r="U51" s="396"/>
      <c r="V51" s="396"/>
      <c r="W51" s="396"/>
      <c r="X51" s="396"/>
      <c r="Y51" s="395"/>
      <c r="Z51" s="396"/>
      <c r="AA51" s="396"/>
      <c r="AB51" s="396"/>
      <c r="AC51" s="396"/>
      <c r="AD51" s="395"/>
      <c r="AE51" s="395"/>
      <c r="AF51" s="395"/>
      <c r="AG51" s="395"/>
    </row>
    <row r="52" ht="14.25" customHeight="1" spans="1:33" x14ac:dyDescent="0.25">
      <c r="C52" s="8" t="s">
        <v>463</v>
      </c>
      <c r="D52" s="8"/>
      <c r="E52" s="8"/>
      <c r="F52" s="310">
        <f t="shared" ref="F52:T52" si="43">SUM(F53:F58)</f>
        <v>-358.7</v>
      </c>
      <c r="G52" s="310">
        <f t="shared" si="43"/>
        <v>-358.3</v>
      </c>
      <c r="H52" s="310">
        <f t="shared" si="43"/>
        <v>-382.3</v>
      </c>
      <c r="I52" s="310">
        <f t="shared" si="43"/>
        <v>-401.6</v>
      </c>
      <c r="J52" s="280">
        <f t="shared" si="43"/>
        <v>-1500.9</v>
      </c>
      <c r="K52" s="310">
        <f t="shared" si="43"/>
        <v>-399</v>
      </c>
      <c r="L52" s="310">
        <f t="shared" si="43"/>
        <v>-413</v>
      </c>
      <c r="M52" s="310">
        <f t="shared" si="43"/>
        <v>-422</v>
      </c>
      <c r="N52" s="310">
        <f t="shared" si="43"/>
        <v>-443</v>
      </c>
      <c r="O52" s="280">
        <f t="shared" si="43"/>
        <v>-1677</v>
      </c>
      <c r="P52" s="501">
        <f t="shared" si="43"/>
        <v>-434</v>
      </c>
      <c r="Q52" s="501">
        <f t="shared" si="43"/>
        <v>-463</v>
      </c>
      <c r="R52" s="310">
        <f t="shared" si="43"/>
        <v>-459</v>
      </c>
      <c r="S52" s="310">
        <f t="shared" si="43"/>
        <v>0</v>
      </c>
      <c r="T52" s="280">
        <f t="shared" si="43"/>
        <v>-1356</v>
      </c>
      <c r="U52" s="514">
        <f>-Model!U78</f>
        <v>0</v>
      </c>
      <c r="V52" s="514">
        <f>-Model!V78</f>
        <v>0</v>
      </c>
      <c r="W52" s="514">
        <f>-Model!W78</f>
        <v>0</v>
      </c>
      <c r="X52" s="514">
        <v>-504.6225468801742</v>
      </c>
      <c r="Y52" s="280">
        <f>SUM(Y53:Y58)</f>
        <v>-504.6225468801742</v>
      </c>
      <c r="Z52" s="514">
        <f>-Model!Z78</f>
        <v>-485.2960137223393</v>
      </c>
      <c r="AA52" s="514">
        <f>-Model!AA78</f>
        <v>-485.93052936790724</v>
      </c>
      <c r="AB52" s="514">
        <f>-Model!AB78</f>
        <v>-486.65053926761317</v>
      </c>
      <c r="AC52" s="514">
        <f>-Model!AC78</f>
        <v>-487.72771209352163</v>
      </c>
      <c r="AD52" s="280">
        <f>SUM(AD53:AD58)</f>
        <v>-1945.6047944513814</v>
      </c>
      <c r="AE52" s="278">
        <f>-Model!AE78</f>
        <v>-1977.3332418248879</v>
      </c>
      <c r="AF52" s="278">
        <f>-Model!AF78</f>
        <v>-2085.257924525477</v>
      </c>
      <c r="AG52" s="278">
        <f>-Model!AG78</f>
        <v>-2190.6617597324716</v>
      </c>
    </row>
    <row r="53" ht="14.25" customHeight="1" spans="1:33" x14ac:dyDescent="0.25">
      <c r="C53" s="130" t="str">
        <f t="shared" ref="C53:C58" si="44">C17&amp;" D&amp;A"</f>
        <v>Collection D&amp;A</v>
      </c>
      <c r="D53" s="8"/>
      <c r="E53" s="8"/>
      <c r="F53" s="497">
        <f>Model!F34</f>
        <v>-358.7</v>
      </c>
      <c r="G53" s="497">
        <f>Model!G34</f>
        <v>-358.3</v>
      </c>
      <c r="H53" s="497">
        <f>Model!H34</f>
        <v>-382.3</v>
      </c>
      <c r="I53" s="497">
        <f>Model!I34</f>
        <v>-401.6</v>
      </c>
      <c r="J53" s="515">
        <f t="shared" ref="J53:J58" si="45">SUM(F53:I53)</f>
        <v>-1500.9</v>
      </c>
      <c r="K53" s="497">
        <f>Model!K34</f>
        <v>-399</v>
      </c>
      <c r="L53" s="497">
        <f>Model!L34</f>
        <v>-413</v>
      </c>
      <c r="M53" s="497">
        <f>Model!M34</f>
        <v>-422</v>
      </c>
      <c r="N53" s="497">
        <f>Model!N34</f>
        <v>-443</v>
      </c>
      <c r="O53" s="515">
        <f t="shared" ref="O53:O58" si="46">SUM(K53:N53)</f>
        <v>-1677</v>
      </c>
      <c r="P53" s="497">
        <f>Model!P34</f>
        <v>-434</v>
      </c>
      <c r="Q53" s="497">
        <f>Model!Q34</f>
        <v>-463</v>
      </c>
      <c r="R53" s="497">
        <f>Model!R34</f>
        <v>-459</v>
      </c>
      <c r="S53" s="497">
        <v>0</v>
      </c>
      <c r="T53" s="515">
        <f t="shared" ref="T53:T58" si="47">SUM(P53:S53)</f>
        <v>-1356</v>
      </c>
      <c r="U53" s="516">
        <f t="shared" ref="U53:W58" si="48">U63*U$52</f>
        <v>0</v>
      </c>
      <c r="V53" s="516">
        <f t="shared" si="48"/>
        <v>0</v>
      </c>
      <c r="W53" s="516">
        <f t="shared" si="48"/>
        <v>0</v>
      </c>
      <c r="X53" s="516">
        <v>-504.6225468801742</v>
      </c>
      <c r="Y53" s="498">
        <f t="shared" ref="Y53:Y58" si="49">SUM(U53:X53)</f>
        <v>-504.6225468801742</v>
      </c>
      <c r="Z53" s="516">
        <f t="shared" ref="Z53:AC58" si="50">Z63*Z$52</f>
        <v>-485.2960137223393</v>
      </c>
      <c r="AA53" s="516">
        <f t="shared" si="50"/>
        <v>-485.93052936790724</v>
      </c>
      <c r="AB53" s="516">
        <f t="shared" si="50"/>
        <v>-486.65053926761317</v>
      </c>
      <c r="AC53" s="516">
        <f t="shared" si="50"/>
        <v>-487.72771209352163</v>
      </c>
      <c r="AD53" s="498">
        <f t="shared" ref="AD53:AD58" si="51">SUM(Z53:AC53)</f>
        <v>-1945.6047944513814</v>
      </c>
      <c r="AE53" s="498">
        <f t="shared" ref="AE53:AG58" si="52">AE63*AE$52</f>
        <v>-1977.3332418248879</v>
      </c>
      <c r="AF53" s="498">
        <f t="shared" si="52"/>
        <v>-2085.257924525477</v>
      </c>
      <c r="AG53" s="498">
        <f t="shared" si="52"/>
        <v>-2190.6617597324716</v>
      </c>
    </row>
    <row r="54" ht="14.25" customHeight="1" spans="1:33" x14ac:dyDescent="0.25">
      <c r="C54" s="130" t="str">
        <f t="shared" si="44"/>
        <v>Landfill D&amp;A</v>
      </c>
      <c r="D54" s="8"/>
      <c r="E54" s="8"/>
      <c r="F54" s="497">
        <v>0</v>
      </c>
      <c r="G54" s="497">
        <v>0</v>
      </c>
      <c r="H54" s="497">
        <v>0</v>
      </c>
      <c r="I54" s="497">
        <v>0</v>
      </c>
      <c r="J54" s="515">
        <f t="shared" si="45"/>
        <v>0</v>
      </c>
      <c r="K54" s="497">
        <v>0</v>
      </c>
      <c r="L54" s="497">
        <v>0</v>
      </c>
      <c r="M54" s="497">
        <v>0</v>
      </c>
      <c r="N54" s="497">
        <v>0</v>
      </c>
      <c r="O54" s="515">
        <f t="shared" si="46"/>
        <v>0</v>
      </c>
      <c r="P54" s="497">
        <v>0</v>
      </c>
      <c r="Q54" s="497">
        <v>0</v>
      </c>
      <c r="R54" s="497">
        <v>0</v>
      </c>
      <c r="S54" s="497">
        <v>0</v>
      </c>
      <c r="T54" s="515">
        <f t="shared" si="47"/>
        <v>0</v>
      </c>
      <c r="U54" s="516">
        <f t="shared" si="48"/>
        <v>0</v>
      </c>
      <c r="V54" s="516">
        <f t="shared" si="48"/>
        <v>0</v>
      </c>
      <c r="W54" s="516">
        <f t="shared" si="48"/>
        <v>0</v>
      </c>
      <c r="X54" s="516">
        <v>0</v>
      </c>
      <c r="Y54" s="498">
        <f t="shared" si="49"/>
        <v>0</v>
      </c>
      <c r="Z54" s="516">
        <f t="shared" si="50"/>
        <v>0</v>
      </c>
      <c r="AA54" s="516">
        <f t="shared" si="50"/>
        <v>0</v>
      </c>
      <c r="AB54" s="516">
        <f t="shared" si="50"/>
        <v>0</v>
      </c>
      <c r="AC54" s="516">
        <f t="shared" si="50"/>
        <v>0</v>
      </c>
      <c r="AD54" s="498">
        <f t="shared" si="51"/>
        <v>0</v>
      </c>
      <c r="AE54" s="498">
        <f t="shared" si="52"/>
        <v>0</v>
      </c>
      <c r="AF54" s="498">
        <f t="shared" si="52"/>
        <v>0</v>
      </c>
      <c r="AG54" s="498">
        <f t="shared" si="52"/>
        <v>0</v>
      </c>
    </row>
    <row r="55" ht="14.25" customHeight="1" spans="1:33" x14ac:dyDescent="0.25">
      <c r="C55" s="130" t="str">
        <f t="shared" si="44"/>
        <v>Environmental solutions D&amp;A</v>
      </c>
      <c r="D55" s="8"/>
      <c r="E55" s="8"/>
      <c r="F55" s="497">
        <v>0</v>
      </c>
      <c r="G55" s="497">
        <v>0</v>
      </c>
      <c r="H55" s="497">
        <v>0</v>
      </c>
      <c r="I55" s="497">
        <v>0</v>
      </c>
      <c r="J55" s="515">
        <f t="shared" si="45"/>
        <v>0</v>
      </c>
      <c r="K55" s="497">
        <v>0</v>
      </c>
      <c r="L55" s="497">
        <v>0</v>
      </c>
      <c r="M55" s="497">
        <v>0</v>
      </c>
      <c r="N55" s="497">
        <v>0</v>
      </c>
      <c r="O55" s="515">
        <f t="shared" si="46"/>
        <v>0</v>
      </c>
      <c r="P55" s="497">
        <v>0</v>
      </c>
      <c r="Q55" s="497">
        <v>0</v>
      </c>
      <c r="R55" s="497">
        <v>0</v>
      </c>
      <c r="S55" s="497">
        <v>0</v>
      </c>
      <c r="T55" s="515">
        <f t="shared" si="47"/>
        <v>0</v>
      </c>
      <c r="U55" s="516">
        <f t="shared" si="48"/>
        <v>0</v>
      </c>
      <c r="V55" s="516">
        <f t="shared" si="48"/>
        <v>0</v>
      </c>
      <c r="W55" s="516">
        <f t="shared" si="48"/>
        <v>0</v>
      </c>
      <c r="X55" s="516">
        <v>0</v>
      </c>
      <c r="Y55" s="498">
        <f t="shared" si="49"/>
        <v>0</v>
      </c>
      <c r="Z55" s="516">
        <f t="shared" si="50"/>
        <v>0</v>
      </c>
      <c r="AA55" s="516">
        <f t="shared" si="50"/>
        <v>0</v>
      </c>
      <c r="AB55" s="516">
        <f t="shared" si="50"/>
        <v>0</v>
      </c>
      <c r="AC55" s="516">
        <f t="shared" si="50"/>
        <v>0</v>
      </c>
      <c r="AD55" s="498">
        <f t="shared" si="51"/>
        <v>0</v>
      </c>
      <c r="AE55" s="498">
        <f t="shared" si="52"/>
        <v>0</v>
      </c>
      <c r="AF55" s="498">
        <f t="shared" si="52"/>
        <v>0</v>
      </c>
      <c r="AG55" s="498">
        <f t="shared" si="52"/>
        <v>0</v>
      </c>
    </row>
    <row r="56" ht="14.25" customHeight="1" hidden="1" spans="1:33" x14ac:dyDescent="0.25">
      <c r="C56" s="130" t="str">
        <f t="shared" si="44"/>
        <v>Transfer D&amp;A</v>
      </c>
      <c r="D56" s="8"/>
      <c r="E56" s="8"/>
      <c r="F56" s="497">
        <v>0</v>
      </c>
      <c r="G56" s="497">
        <v>0</v>
      </c>
      <c r="H56" s="497">
        <v>0</v>
      </c>
      <c r="I56" s="497">
        <v>0</v>
      </c>
      <c r="J56" s="515">
        <f t="shared" si="45"/>
        <v>0</v>
      </c>
      <c r="K56" s="497">
        <v>0</v>
      </c>
      <c r="L56" s="497">
        <v>0</v>
      </c>
      <c r="M56" s="497">
        <v>0</v>
      </c>
      <c r="N56" s="497">
        <v>0</v>
      </c>
      <c r="O56" s="515">
        <f t="shared" si="46"/>
        <v>0</v>
      </c>
      <c r="P56" s="497">
        <v>0</v>
      </c>
      <c r="Q56" s="497">
        <v>0</v>
      </c>
      <c r="R56" s="497">
        <v>0</v>
      </c>
      <c r="S56" s="497">
        <v>0</v>
      </c>
      <c r="T56" s="515">
        <f t="shared" si="47"/>
        <v>0</v>
      </c>
      <c r="U56" s="516">
        <f t="shared" si="48"/>
        <v>0</v>
      </c>
      <c r="V56" s="516">
        <f t="shared" si="48"/>
        <v>0</v>
      </c>
      <c r="W56" s="516">
        <f t="shared" si="48"/>
        <v>0</v>
      </c>
      <c r="X56" s="516">
        <v>0</v>
      </c>
      <c r="Y56" s="498">
        <f t="shared" si="49"/>
        <v>0</v>
      </c>
      <c r="Z56" s="516">
        <f t="shared" si="50"/>
        <v>0</v>
      </c>
      <c r="AA56" s="516">
        <f t="shared" si="50"/>
        <v>0</v>
      </c>
      <c r="AB56" s="516">
        <f t="shared" si="50"/>
        <v>0</v>
      </c>
      <c r="AC56" s="516">
        <f t="shared" si="50"/>
        <v>0</v>
      </c>
      <c r="AD56" s="498">
        <f t="shared" si="51"/>
        <v>0</v>
      </c>
      <c r="AE56" s="498">
        <f t="shared" si="52"/>
        <v>0</v>
      </c>
      <c r="AF56" s="498">
        <f t="shared" si="52"/>
        <v>0</v>
      </c>
      <c r="AG56" s="498">
        <f t="shared" si="52"/>
        <v>0</v>
      </c>
    </row>
    <row r="57" ht="14.25" customHeight="1" spans="1:33" x14ac:dyDescent="0.25" outlineLevel="1" collapsed="1">
      <c r="C57" s="130" t="str">
        <f t="shared" si="44"/>
        <v>Other D&amp;A</v>
      </c>
      <c r="D57" s="8"/>
      <c r="E57" s="8"/>
      <c r="F57" s="497">
        <v>0</v>
      </c>
      <c r="G57" s="497">
        <v>0</v>
      </c>
      <c r="H57" s="497">
        <v>0</v>
      </c>
      <c r="I57" s="497">
        <v>0</v>
      </c>
      <c r="J57" s="515">
        <f t="shared" si="45"/>
        <v>0</v>
      </c>
      <c r="K57" s="497">
        <v>0</v>
      </c>
      <c r="L57" s="497">
        <v>0</v>
      </c>
      <c r="M57" s="497">
        <v>0</v>
      </c>
      <c r="N57" s="497">
        <v>0</v>
      </c>
      <c r="O57" s="515">
        <f t="shared" si="46"/>
        <v>0</v>
      </c>
      <c r="P57" s="497">
        <v>0</v>
      </c>
      <c r="Q57" s="497">
        <v>0</v>
      </c>
      <c r="R57" s="497">
        <v>0</v>
      </c>
      <c r="S57" s="497">
        <v>0</v>
      </c>
      <c r="T57" s="515">
        <f t="shared" si="47"/>
        <v>0</v>
      </c>
      <c r="U57" s="516">
        <f t="shared" si="48"/>
        <v>0</v>
      </c>
      <c r="V57" s="516">
        <f t="shared" si="48"/>
        <v>0</v>
      </c>
      <c r="W57" s="516">
        <f t="shared" si="48"/>
        <v>0</v>
      </c>
      <c r="X57" s="516">
        <v>0</v>
      </c>
      <c r="Y57" s="498">
        <f t="shared" si="49"/>
        <v>0</v>
      </c>
      <c r="Z57" s="516">
        <f t="shared" si="50"/>
        <v>0</v>
      </c>
      <c r="AA57" s="516">
        <f t="shared" si="50"/>
        <v>0</v>
      </c>
      <c r="AB57" s="516">
        <f t="shared" si="50"/>
        <v>0</v>
      </c>
      <c r="AC57" s="516">
        <f t="shared" si="50"/>
        <v>0</v>
      </c>
      <c r="AD57" s="498">
        <f t="shared" si="51"/>
        <v>0</v>
      </c>
      <c r="AE57" s="498">
        <f t="shared" si="52"/>
        <v>0</v>
      </c>
      <c r="AF57" s="498">
        <f t="shared" si="52"/>
        <v>0</v>
      </c>
      <c r="AG57" s="498">
        <f t="shared" si="52"/>
        <v>0</v>
      </c>
    </row>
    <row r="58" ht="14.25" customHeight="1" spans="1:33" x14ac:dyDescent="0.25" outlineLevel="1" collapsed="1">
      <c r="C58" s="130" t="str">
        <f t="shared" si="44"/>
        <v>Professional Services and Other D&amp;A</v>
      </c>
      <c r="D58" s="8"/>
      <c r="E58" s="8"/>
      <c r="F58" s="497">
        <v>0</v>
      </c>
      <c r="G58" s="497">
        <v>0</v>
      </c>
      <c r="H58" s="497">
        <v>0</v>
      </c>
      <c r="I58" s="497">
        <v>0</v>
      </c>
      <c r="J58" s="515">
        <f t="shared" si="45"/>
        <v>0</v>
      </c>
      <c r="K58" s="497">
        <v>0</v>
      </c>
      <c r="L58" s="497">
        <v>0</v>
      </c>
      <c r="M58" s="497">
        <v>0</v>
      </c>
      <c r="N58" s="497">
        <v>0</v>
      </c>
      <c r="O58" s="515">
        <f t="shared" si="46"/>
        <v>0</v>
      </c>
      <c r="P58" s="497">
        <v>0</v>
      </c>
      <c r="Q58" s="497">
        <v>0</v>
      </c>
      <c r="R58" s="497">
        <v>0</v>
      </c>
      <c r="S58" s="497">
        <v>0</v>
      </c>
      <c r="T58" s="515">
        <f t="shared" si="47"/>
        <v>0</v>
      </c>
      <c r="U58" s="516">
        <f t="shared" si="48"/>
        <v>0</v>
      </c>
      <c r="V58" s="516">
        <f t="shared" si="48"/>
        <v>0</v>
      </c>
      <c r="W58" s="516">
        <f t="shared" si="48"/>
        <v>0</v>
      </c>
      <c r="X58" s="516">
        <v>0</v>
      </c>
      <c r="Y58" s="498">
        <f t="shared" si="49"/>
        <v>0</v>
      </c>
      <c r="Z58" s="516">
        <f t="shared" si="50"/>
        <v>0</v>
      </c>
      <c r="AA58" s="516">
        <f t="shared" si="50"/>
        <v>0</v>
      </c>
      <c r="AB58" s="516">
        <f t="shared" si="50"/>
        <v>0</v>
      </c>
      <c r="AC58" s="516">
        <f t="shared" si="50"/>
        <v>0</v>
      </c>
      <c r="AD58" s="498">
        <f t="shared" si="51"/>
        <v>0</v>
      </c>
      <c r="AE58" s="498">
        <f t="shared" si="52"/>
        <v>0</v>
      </c>
      <c r="AF58" s="498">
        <f t="shared" si="52"/>
        <v>0</v>
      </c>
      <c r="AG58" s="498">
        <f t="shared" si="52"/>
        <v>0</v>
      </c>
    </row>
    <row r="59" ht="14.25" customHeight="1" spans="1:33" x14ac:dyDescent="0.25">
      <c r="C59" s="130"/>
      <c r="D59" s="8"/>
      <c r="E59" s="8"/>
      <c r="F59" s="501"/>
      <c r="G59" s="501"/>
      <c r="H59" s="501"/>
      <c r="I59" s="501"/>
      <c r="J59" s="506"/>
      <c r="K59" s="501"/>
      <c r="L59" s="501"/>
      <c r="M59" s="501"/>
      <c r="N59" s="511"/>
      <c r="O59" s="498"/>
      <c r="P59" s="511"/>
      <c r="Q59" s="312"/>
      <c r="R59" s="501"/>
      <c r="S59" s="511"/>
      <c r="T59" s="395"/>
      <c r="U59" s="513"/>
      <c r="V59" s="513"/>
      <c r="W59" s="513"/>
      <c r="X59" s="396"/>
      <c r="Y59" s="498"/>
      <c r="Z59" s="513"/>
      <c r="AA59" s="513"/>
      <c r="AB59" s="513"/>
      <c r="AC59" s="396"/>
      <c r="AD59" s="395"/>
      <c r="AE59" s="395"/>
      <c r="AF59" s="395"/>
      <c r="AG59" s="395"/>
    </row>
    <row r="60" ht="14.25" customHeight="1" spans="1:33" x14ac:dyDescent="0.25">
      <c r="C60" s="111" t="s">
        <v>464</v>
      </c>
      <c r="D60" s="8"/>
      <c r="E60" s="8"/>
      <c r="F60" s="517">
        <f>F52+Model!F60</f>
        <v>0</v>
      </c>
      <c r="G60" s="517">
        <f>G52+Model!G60</f>
        <v>0</v>
      </c>
      <c r="H60" s="517">
        <f>H52+Model!H60</f>
        <v>0</v>
      </c>
      <c r="I60" s="517">
        <f>I52+Model!I60</f>
        <v>0</v>
      </c>
      <c r="J60" s="512">
        <f>J52+Model!J60</f>
        <v>0</v>
      </c>
      <c r="K60" s="517">
        <f>K52+Model!K60</f>
        <v>0</v>
      </c>
      <c r="L60" s="517">
        <f>L52+Model!L60</f>
        <v>0</v>
      </c>
      <c r="M60" s="517">
        <f>M52+Model!M60</f>
        <v>0</v>
      </c>
      <c r="N60" s="517">
        <f>N52+Model!N60</f>
        <v>0</v>
      </c>
      <c r="O60" s="512">
        <f>O52+Model!O60</f>
        <v>0</v>
      </c>
      <c r="P60" s="517">
        <f>P52+Model!P60</f>
        <v>0</v>
      </c>
      <c r="Q60" s="517">
        <f>Q52+Model!Q60</f>
        <v>0</v>
      </c>
      <c r="R60" s="517">
        <f>R52+Model!R60</f>
        <v>0</v>
      </c>
      <c r="S60" s="517">
        <f>S52+Model!S60</f>
        <v>458</v>
      </c>
      <c r="T60" s="512">
        <f>T52+Model!T60</f>
        <v>458</v>
      </c>
      <c r="U60" s="518">
        <f>U52-SUM(U53:U58)</f>
        <v>0</v>
      </c>
      <c r="V60" s="518">
        <f>V52-SUM(V53:V58)</f>
        <v>0</v>
      </c>
      <c r="W60" s="518">
        <f>W52-SUM(W53:W58)</f>
        <v>0</v>
      </c>
      <c r="X60" s="518">
        <v>0</v>
      </c>
      <c r="Y60" s="512">
        <f t="shared" ref="Y60:AG60" si="53">Y52-SUM(Y53:Y58)</f>
        <v>0</v>
      </c>
      <c r="Z60" s="518">
        <f t="shared" si="53"/>
        <v>0</v>
      </c>
      <c r="AA60" s="518">
        <f t="shared" si="53"/>
        <v>0</v>
      </c>
      <c r="AB60" s="518">
        <f t="shared" si="53"/>
        <v>0</v>
      </c>
      <c r="AC60" s="518">
        <f t="shared" si="53"/>
        <v>0</v>
      </c>
      <c r="AD60" s="512">
        <f t="shared" si="53"/>
        <v>0</v>
      </c>
      <c r="AE60" s="512">
        <f t="shared" si="53"/>
        <v>0</v>
      </c>
      <c r="AF60" s="512">
        <f t="shared" si="53"/>
        <v>0</v>
      </c>
      <c r="AG60" s="512">
        <f t="shared" si="53"/>
        <v>0</v>
      </c>
    </row>
    <row r="61" ht="14.25" customHeight="1" spans="1:33" x14ac:dyDescent="0.25">
      <c r="C61" s="130"/>
      <c r="D61" s="8"/>
      <c r="E61" s="8"/>
      <c r="F61" s="501"/>
      <c r="G61" s="501"/>
      <c r="H61" s="501"/>
      <c r="I61" s="501"/>
      <c r="J61" s="506"/>
      <c r="K61" s="501"/>
      <c r="L61" s="501"/>
      <c r="M61" s="501"/>
      <c r="N61" s="511"/>
      <c r="O61" s="498"/>
      <c r="P61" s="511"/>
      <c r="Q61" s="312"/>
      <c r="R61" s="501"/>
      <c r="S61" s="511"/>
      <c r="T61" s="395"/>
      <c r="U61" s="513"/>
      <c r="V61" s="513"/>
      <c r="W61" s="513"/>
      <c r="X61" s="396"/>
      <c r="Y61" s="498"/>
      <c r="Z61" s="513"/>
      <c r="AA61" s="513"/>
      <c r="AB61" s="513"/>
      <c r="AC61" s="396"/>
      <c r="AD61" s="395"/>
      <c r="AE61" s="395"/>
      <c r="AF61" s="395"/>
      <c r="AG61" s="395"/>
    </row>
    <row r="62" ht="15" customHeight="1" spans="1:33" x14ac:dyDescent="0.25">
      <c r="C62" s="7" t="s">
        <v>465</v>
      </c>
      <c r="D62" s="8"/>
      <c r="E62" s="8"/>
      <c r="F62" s="310"/>
      <c r="G62" s="310"/>
      <c r="H62" s="310"/>
      <c r="I62" s="310"/>
      <c r="J62" s="280"/>
      <c r="K62" s="310"/>
      <c r="L62" s="310"/>
      <c r="M62" s="310"/>
      <c r="N62" s="310"/>
      <c r="O62" s="280"/>
      <c r="P62" s="501"/>
      <c r="Q62" s="501"/>
      <c r="R62" s="310"/>
      <c r="S62" s="310"/>
      <c r="T62" s="280"/>
      <c r="U62" s="279"/>
      <c r="V62" s="279"/>
      <c r="W62" s="279"/>
      <c r="X62" s="279"/>
      <c r="Y62" s="280"/>
      <c r="Z62" s="279"/>
      <c r="AA62" s="279"/>
      <c r="AB62" s="279"/>
      <c r="AC62" s="279"/>
      <c r="AD62" s="280"/>
      <c r="AE62" s="280"/>
      <c r="AF62" s="280"/>
      <c r="AG62" s="280"/>
    </row>
    <row r="63" ht="15" customHeight="1" spans="1:33" x14ac:dyDescent="0.25">
      <c r="C63" s="519" t="str">
        <f t="shared" ref="C63:C68" si="54">C17</f>
        <v>Collection</v>
      </c>
      <c r="D63" s="8"/>
      <c r="E63" s="8"/>
      <c r="F63" s="394" t="str">
        <f t="shared" ref="F63:I68" si="55">IFERROR(F53/F$52,"N/A")</f>
        <v>N/A</v>
      </c>
      <c r="G63" s="394" t="str">
        <f t="shared" si="55"/>
        <v>N/A</v>
      </c>
      <c r="H63" s="394" t="str">
        <f t="shared" si="55"/>
        <v>N/A</v>
      </c>
      <c r="I63" s="394" t="str">
        <f t="shared" si="55"/>
        <v>N/A</v>
      </c>
      <c r="J63" s="395" t="str">
        <f t="shared" ref="J63:J68" si="56">IFERROR(J53/J$52,"N/A")</f>
        <v>N/A</v>
      </c>
      <c r="K63" s="394" t="str">
        <f t="shared" ref="K63:N68" si="57">IFERROR(K53/K$52,"N/A")</f>
        <v>N/A</v>
      </c>
      <c r="L63" s="394" t="str">
        <f t="shared" si="57"/>
        <v>N/A</v>
      </c>
      <c r="M63" s="394" t="str">
        <f t="shared" si="57"/>
        <v>N/A</v>
      </c>
      <c r="N63" s="394" t="str">
        <f t="shared" si="57"/>
        <v>N/A</v>
      </c>
      <c r="O63" s="395" t="str">
        <f t="shared" ref="O63:O68" si="58">IFERROR(O53/O$52,"N/A")</f>
        <v>N/A</v>
      </c>
      <c r="P63" s="394" t="str">
        <f t="shared" ref="P63:S68" si="59">IFERROR(P53/P$52,"N/A")</f>
        <v>N/A</v>
      </c>
      <c r="Q63" s="394" t="str">
        <f t="shared" si="59"/>
        <v>N/A</v>
      </c>
      <c r="R63" s="394" t="str">
        <f t="shared" si="59"/>
        <v>N/A</v>
      </c>
      <c r="S63" s="394">
        <f t="shared" si="59"/>
        <v>1</v>
      </c>
      <c r="T63" s="395">
        <f t="shared" ref="T63:T68" si="60">IFERROR(T53/T$52,"N/A")</f>
        <v>1</v>
      </c>
      <c r="U63" s="397">
        <f>Drivers!U78</f>
        <v>1</v>
      </c>
      <c r="V63" s="397">
        <f>Drivers!V78</f>
        <v>1</v>
      </c>
      <c r="W63" s="397">
        <f>Drivers!W78</f>
        <v>1</v>
      </c>
      <c r="X63" s="397">
        <v>1</v>
      </c>
      <c r="Y63" s="520">
        <f t="shared" ref="Y63:Y68" si="61">Y53/Y$52</f>
        <v>1</v>
      </c>
      <c r="Z63" s="397">
        <f>Drivers!Z78</f>
        <v>1</v>
      </c>
      <c r="AA63" s="397">
        <f>Drivers!AA78</f>
        <v>1</v>
      </c>
      <c r="AB63" s="397">
        <f>Drivers!AB78</f>
        <v>1</v>
      </c>
      <c r="AC63" s="397">
        <f>Drivers!AC78</f>
        <v>1</v>
      </c>
      <c r="AD63" s="520">
        <f t="shared" ref="AD63:AD68" si="62">AD53/AD$52</f>
        <v>1</v>
      </c>
      <c r="AE63" s="398">
        <f>Drivers!AE78</f>
        <v>1</v>
      </c>
      <c r="AF63" s="398">
        <f>Drivers!AF78</f>
        <v>1</v>
      </c>
      <c r="AG63" s="398">
        <f>Drivers!AG78</f>
        <v>1</v>
      </c>
    </row>
    <row r="64" ht="14.25" customHeight="1" spans="1:33" x14ac:dyDescent="0.25">
      <c r="C64" s="519" t="str">
        <f t="shared" si="54"/>
        <v>Landfill</v>
      </c>
      <c r="D64" s="8"/>
      <c r="E64" s="8"/>
      <c r="F64" s="394" t="str">
        <f t="shared" si="55"/>
        <v>N/A</v>
      </c>
      <c r="G64" s="394" t="str">
        <f t="shared" si="55"/>
        <v>N/A</v>
      </c>
      <c r="H64" s="394" t="str">
        <f t="shared" si="55"/>
        <v>N/A</v>
      </c>
      <c r="I64" s="394" t="str">
        <f t="shared" si="55"/>
        <v>N/A</v>
      </c>
      <c r="J64" s="395" t="str">
        <f t="shared" si="56"/>
        <v>N/A</v>
      </c>
      <c r="K64" s="394" t="str">
        <f t="shared" si="57"/>
        <v>N/A</v>
      </c>
      <c r="L64" s="394" t="str">
        <f t="shared" si="57"/>
        <v>N/A</v>
      </c>
      <c r="M64" s="394" t="str">
        <f t="shared" si="57"/>
        <v>N/A</v>
      </c>
      <c r="N64" s="394" t="str">
        <f t="shared" si="57"/>
        <v>N/A</v>
      </c>
      <c r="O64" s="395" t="str">
        <f t="shared" si="58"/>
        <v>N/A</v>
      </c>
      <c r="P64" s="394" t="str">
        <f t="shared" ref="P64:Q68" si="63">IFERROR(P54/P$52,"N/A")</f>
        <v>N/A</v>
      </c>
      <c r="Q64" s="394" t="str">
        <f t="shared" si="63"/>
        <v>N/A</v>
      </c>
      <c r="R64" s="394" t="str">
        <f t="shared" si="59"/>
        <v>N/A</v>
      </c>
      <c r="S64" s="394">
        <f t="shared" si="59"/>
        <v>0</v>
      </c>
      <c r="T64" s="395">
        <f t="shared" si="60"/>
        <v>0</v>
      </c>
      <c r="U64" s="397">
        <f>Drivers!U79</f>
        <v>0</v>
      </c>
      <c r="V64" s="397">
        <f>Drivers!V79</f>
        <v>0</v>
      </c>
      <c r="W64" s="397">
        <f>Drivers!W79</f>
        <v>0</v>
      </c>
      <c r="X64" s="397">
        <v>0</v>
      </c>
      <c r="Y64" s="520">
        <f t="shared" si="61"/>
        <v>0</v>
      </c>
      <c r="Z64" s="397">
        <f>Drivers!Z79</f>
        <v>0</v>
      </c>
      <c r="AA64" s="397">
        <f>Drivers!AA79</f>
        <v>0</v>
      </c>
      <c r="AB64" s="397">
        <f>Drivers!AB79</f>
        <v>0</v>
      </c>
      <c r="AC64" s="397">
        <f>Drivers!AC79</f>
        <v>0</v>
      </c>
      <c r="AD64" s="520">
        <f t="shared" si="62"/>
        <v>0</v>
      </c>
      <c r="AE64" s="398">
        <f>Drivers!AE79</f>
        <v>0</v>
      </c>
      <c r="AF64" s="398">
        <f>Drivers!AF79</f>
        <v>0</v>
      </c>
      <c r="AG64" s="398">
        <f>Drivers!AG79</f>
        <v>0</v>
      </c>
    </row>
    <row r="65" ht="14.25" customHeight="1" spans="1:33" x14ac:dyDescent="0.25">
      <c r="C65" s="519" t="str">
        <f t="shared" si="54"/>
        <v>Environmental solutions</v>
      </c>
      <c r="D65" s="8"/>
      <c r="E65" s="8"/>
      <c r="F65" s="394" t="str">
        <f t="shared" si="55"/>
        <v>N/A</v>
      </c>
      <c r="G65" s="394" t="str">
        <f t="shared" si="55"/>
        <v>N/A</v>
      </c>
      <c r="H65" s="394" t="str">
        <f t="shared" si="55"/>
        <v>N/A</v>
      </c>
      <c r="I65" s="394" t="str">
        <f t="shared" si="55"/>
        <v>N/A</v>
      </c>
      <c r="J65" s="395" t="str">
        <f t="shared" si="56"/>
        <v>N/A</v>
      </c>
      <c r="K65" s="394" t="str">
        <f t="shared" si="57"/>
        <v>N/A</v>
      </c>
      <c r="L65" s="394" t="str">
        <f t="shared" si="57"/>
        <v>N/A</v>
      </c>
      <c r="M65" s="394" t="str">
        <f t="shared" si="57"/>
        <v>N/A</v>
      </c>
      <c r="N65" s="394" t="str">
        <f t="shared" si="57"/>
        <v>N/A</v>
      </c>
      <c r="O65" s="395" t="str">
        <f t="shared" si="58"/>
        <v>N/A</v>
      </c>
      <c r="P65" s="394" t="str">
        <f t="shared" si="63"/>
        <v>N/A</v>
      </c>
      <c r="Q65" s="394" t="str">
        <f t="shared" si="63"/>
        <v>N/A</v>
      </c>
      <c r="R65" s="394" t="str">
        <f t="shared" si="59"/>
        <v>N/A</v>
      </c>
      <c r="S65" s="394">
        <f t="shared" si="59"/>
        <v>0</v>
      </c>
      <c r="T65" s="395">
        <f t="shared" si="60"/>
        <v>0</v>
      </c>
      <c r="U65" s="397">
        <f>Drivers!U80</f>
        <v>0</v>
      </c>
      <c r="V65" s="397">
        <f>Drivers!V80</f>
        <v>0</v>
      </c>
      <c r="W65" s="397">
        <f>Drivers!W80</f>
        <v>0</v>
      </c>
      <c r="X65" s="397">
        <v>0</v>
      </c>
      <c r="Y65" s="520">
        <f t="shared" si="61"/>
        <v>0</v>
      </c>
      <c r="Z65" s="397">
        <f>Drivers!Z80</f>
        <v>0</v>
      </c>
      <c r="AA65" s="397">
        <f>Drivers!AA80</f>
        <v>0</v>
      </c>
      <c r="AB65" s="397">
        <f>Drivers!AB80</f>
        <v>0</v>
      </c>
      <c r="AC65" s="397">
        <f>Drivers!AC80</f>
        <v>0</v>
      </c>
      <c r="AD65" s="520">
        <f t="shared" si="62"/>
        <v>0</v>
      </c>
      <c r="AE65" s="398">
        <f>Drivers!AE80</f>
        <v>0</v>
      </c>
      <c r="AF65" s="398">
        <f>Drivers!AF80</f>
        <v>0</v>
      </c>
      <c r="AG65" s="398">
        <f>Drivers!AG80</f>
        <v>0</v>
      </c>
    </row>
    <row r="66" ht="14.25" customHeight="1" hidden="1" spans="1:33" x14ac:dyDescent="0.25">
      <c r="C66" s="519" t="str">
        <f t="shared" si="54"/>
        <v>Transfer</v>
      </c>
      <c r="D66" s="8"/>
      <c r="E66" s="8"/>
      <c r="F66" s="394" t="str">
        <f t="shared" si="55"/>
        <v>N/A</v>
      </c>
      <c r="G66" s="394" t="str">
        <f t="shared" si="55"/>
        <v>N/A</v>
      </c>
      <c r="H66" s="394" t="str">
        <f t="shared" si="55"/>
        <v>N/A</v>
      </c>
      <c r="I66" s="394" t="str">
        <f t="shared" si="55"/>
        <v>N/A</v>
      </c>
      <c r="J66" s="395" t="str">
        <f t="shared" si="56"/>
        <v>N/A</v>
      </c>
      <c r="K66" s="394" t="str">
        <f t="shared" si="57"/>
        <v>N/A</v>
      </c>
      <c r="L66" s="394" t="str">
        <f t="shared" si="57"/>
        <v>N/A</v>
      </c>
      <c r="M66" s="394" t="str">
        <f t="shared" si="57"/>
        <v>N/A</v>
      </c>
      <c r="N66" s="394" t="str">
        <f t="shared" si="57"/>
        <v>N/A</v>
      </c>
      <c r="O66" s="395" t="str">
        <f t="shared" si="58"/>
        <v>N/A</v>
      </c>
      <c r="P66" s="394" t="str">
        <f t="shared" si="63"/>
        <v>N/A</v>
      </c>
      <c r="Q66" s="394" t="str">
        <f t="shared" si="63"/>
        <v>N/A</v>
      </c>
      <c r="R66" s="394" t="str">
        <f t="shared" si="59"/>
        <v>N/A</v>
      </c>
      <c r="S66" s="394">
        <f t="shared" si="59"/>
        <v>0</v>
      </c>
      <c r="T66" s="395">
        <f t="shared" si="60"/>
        <v>0</v>
      </c>
      <c r="U66" s="397">
        <f>Drivers!U81</f>
        <v>0</v>
      </c>
      <c r="V66" s="397">
        <f>Drivers!V81</f>
        <v>0</v>
      </c>
      <c r="W66" s="397">
        <f>Drivers!W81</f>
        <v>0</v>
      </c>
      <c r="X66" s="397">
        <v>0</v>
      </c>
      <c r="Y66" s="520">
        <f t="shared" si="61"/>
        <v>0</v>
      </c>
      <c r="Z66" s="397">
        <f>Drivers!Z81</f>
        <v>0</v>
      </c>
      <c r="AA66" s="397">
        <f>Drivers!AA81</f>
        <v>0</v>
      </c>
      <c r="AB66" s="397">
        <f>Drivers!AB81</f>
        <v>0</v>
      </c>
      <c r="AC66" s="397">
        <f>Drivers!AC81</f>
        <v>0</v>
      </c>
      <c r="AD66" s="520">
        <f t="shared" si="62"/>
        <v>0</v>
      </c>
      <c r="AE66" s="398">
        <f>Drivers!AE81</f>
        <v>0</v>
      </c>
      <c r="AF66" s="398">
        <f>Drivers!AF81</f>
        <v>0</v>
      </c>
      <c r="AG66" s="398">
        <f>Drivers!AG81</f>
        <v>0</v>
      </c>
    </row>
    <row r="67" ht="14.25" customHeight="1" spans="1:33" x14ac:dyDescent="0.25" outlineLevel="1" collapsed="1">
      <c r="C67" s="519" t="str">
        <f t="shared" si="54"/>
        <v>Other</v>
      </c>
      <c r="D67" s="8"/>
      <c r="E67" s="8"/>
      <c r="F67" s="394" t="str">
        <f t="shared" si="55"/>
        <v>N/A</v>
      </c>
      <c r="G67" s="394" t="str">
        <f t="shared" si="55"/>
        <v>N/A</v>
      </c>
      <c r="H67" s="394" t="str">
        <f t="shared" si="55"/>
        <v>N/A</v>
      </c>
      <c r="I67" s="394" t="str">
        <f t="shared" si="55"/>
        <v>N/A</v>
      </c>
      <c r="J67" s="395" t="str">
        <f t="shared" si="56"/>
        <v>N/A</v>
      </c>
      <c r="K67" s="394" t="str">
        <f t="shared" si="57"/>
        <v>N/A</v>
      </c>
      <c r="L67" s="394" t="str">
        <f t="shared" si="57"/>
        <v>N/A</v>
      </c>
      <c r="M67" s="394" t="str">
        <f t="shared" si="57"/>
        <v>N/A</v>
      </c>
      <c r="N67" s="394" t="str">
        <f t="shared" si="57"/>
        <v>N/A</v>
      </c>
      <c r="O67" s="395" t="str">
        <f t="shared" si="58"/>
        <v>N/A</v>
      </c>
      <c r="P67" s="394" t="str">
        <f t="shared" si="63"/>
        <v>N/A</v>
      </c>
      <c r="Q67" s="394" t="str">
        <f t="shared" si="63"/>
        <v>N/A</v>
      </c>
      <c r="R67" s="394" t="str">
        <f t="shared" si="59"/>
        <v>N/A</v>
      </c>
      <c r="S67" s="394">
        <f t="shared" si="59"/>
        <v>0</v>
      </c>
      <c r="T67" s="395">
        <f t="shared" si="60"/>
        <v>0</v>
      </c>
      <c r="U67" s="397">
        <f>Drivers!U82</f>
        <v>0</v>
      </c>
      <c r="V67" s="397">
        <f>Drivers!V82</f>
        <v>0</v>
      </c>
      <c r="W67" s="397">
        <f>Drivers!W82</f>
        <v>0</v>
      </c>
      <c r="X67" s="397">
        <v>0</v>
      </c>
      <c r="Y67" s="520">
        <f t="shared" si="61"/>
        <v>0</v>
      </c>
      <c r="Z67" s="397">
        <f>Drivers!Z82</f>
        <v>0</v>
      </c>
      <c r="AA67" s="397">
        <f>Drivers!AA82</f>
        <v>0</v>
      </c>
      <c r="AB67" s="397">
        <f>Drivers!AB82</f>
        <v>0</v>
      </c>
      <c r="AC67" s="397">
        <f>Drivers!AC82</f>
        <v>0</v>
      </c>
      <c r="AD67" s="520">
        <f t="shared" si="62"/>
        <v>0</v>
      </c>
      <c r="AE67" s="398">
        <f>Drivers!AE82</f>
        <v>0</v>
      </c>
      <c r="AF67" s="398">
        <f>Drivers!AF82</f>
        <v>0</v>
      </c>
      <c r="AG67" s="398">
        <f>Drivers!AG82</f>
        <v>0</v>
      </c>
    </row>
    <row r="68" ht="14.25" customHeight="1" spans="1:33" x14ac:dyDescent="0.25" outlineLevel="1" collapsed="1">
      <c r="C68" s="519" t="str">
        <f t="shared" si="54"/>
        <v>Professional Services and Other</v>
      </c>
      <c r="D68" s="8"/>
      <c r="E68" s="8"/>
      <c r="F68" s="394" t="str">
        <f t="shared" si="55"/>
        <v>N/A</v>
      </c>
      <c r="G68" s="394" t="str">
        <f t="shared" si="55"/>
        <v>N/A</v>
      </c>
      <c r="H68" s="394" t="str">
        <f t="shared" si="55"/>
        <v>N/A</v>
      </c>
      <c r="I68" s="394" t="str">
        <f t="shared" si="55"/>
        <v>N/A</v>
      </c>
      <c r="J68" s="395" t="str">
        <f t="shared" si="56"/>
        <v>N/A</v>
      </c>
      <c r="K68" s="394" t="str">
        <f t="shared" si="57"/>
        <v>N/A</v>
      </c>
      <c r="L68" s="394" t="str">
        <f t="shared" si="57"/>
        <v>N/A</v>
      </c>
      <c r="M68" s="394" t="str">
        <f t="shared" si="57"/>
        <v>N/A</v>
      </c>
      <c r="N68" s="394" t="str">
        <f t="shared" si="57"/>
        <v>N/A</v>
      </c>
      <c r="O68" s="395" t="str">
        <f t="shared" si="58"/>
        <v>N/A</v>
      </c>
      <c r="P68" s="394" t="str">
        <f t="shared" si="63"/>
        <v>N/A</v>
      </c>
      <c r="Q68" s="394" t="str">
        <f t="shared" si="63"/>
        <v>N/A</v>
      </c>
      <c r="R68" s="394" t="str">
        <f t="shared" si="59"/>
        <v>N/A</v>
      </c>
      <c r="S68" s="394">
        <f t="shared" si="59"/>
        <v>0</v>
      </c>
      <c r="T68" s="395">
        <f t="shared" si="60"/>
        <v>0</v>
      </c>
      <c r="U68" s="397">
        <f>Drivers!U83</f>
        <v>0</v>
      </c>
      <c r="V68" s="397">
        <f>Drivers!V83</f>
        <v>0</v>
      </c>
      <c r="W68" s="397">
        <f>Drivers!W83</f>
        <v>0</v>
      </c>
      <c r="X68" s="397">
        <v>0</v>
      </c>
      <c r="Y68" s="520">
        <f t="shared" si="61"/>
        <v>0</v>
      </c>
      <c r="Z68" s="397">
        <f>Drivers!Z83</f>
        <v>0</v>
      </c>
      <c r="AA68" s="397">
        <f>Drivers!AA83</f>
        <v>0</v>
      </c>
      <c r="AB68" s="397">
        <f>Drivers!AB83</f>
        <v>0</v>
      </c>
      <c r="AC68" s="397">
        <f>Drivers!AC83</f>
        <v>0</v>
      </c>
      <c r="AD68" s="520">
        <f t="shared" si="62"/>
        <v>0</v>
      </c>
      <c r="AE68" s="398">
        <f>Drivers!AE83</f>
        <v>0</v>
      </c>
      <c r="AF68" s="398">
        <f>Drivers!AF83</f>
        <v>0</v>
      </c>
      <c r="AG68" s="398">
        <f>Drivers!AG83</f>
        <v>0</v>
      </c>
    </row>
    <row r="69" ht="14.25" customHeight="1" spans="1:33" x14ac:dyDescent="0.25">
      <c r="C69" s="8"/>
      <c r="D69" s="8"/>
      <c r="E69" s="8"/>
      <c r="F69" s="312"/>
      <c r="G69" s="312"/>
      <c r="H69" s="312"/>
      <c r="I69" s="312"/>
      <c r="J69" s="160"/>
      <c r="K69" s="312"/>
      <c r="L69" s="312"/>
      <c r="M69" s="312"/>
      <c r="N69" s="310"/>
      <c r="O69" s="160"/>
      <c r="P69" s="310"/>
      <c r="Q69" s="521"/>
      <c r="R69" s="312"/>
      <c r="S69" s="310"/>
      <c r="T69" s="395"/>
      <c r="U69" s="279"/>
      <c r="V69" s="279"/>
      <c r="W69" s="279"/>
      <c r="X69" s="396"/>
      <c r="Y69" s="160"/>
      <c r="Z69" s="279"/>
      <c r="AA69" s="279"/>
      <c r="AB69" s="279"/>
      <c r="AC69" s="396"/>
      <c r="AD69" s="395"/>
      <c r="AE69" s="395"/>
      <c r="AF69" s="395"/>
      <c r="AG69" s="395"/>
    </row>
    <row r="70" ht="14.25" customHeight="1" spans="1:33" x14ac:dyDescent="0.25">
      <c r="C70" s="8" t="s">
        <v>466</v>
      </c>
      <c r="D70" s="8"/>
      <c r="E70" s="8"/>
      <c r="F70" s="310">
        <f t="shared" ref="F70:I76" si="64">F52+F34</f>
        <v>285.40000000000003</v>
      </c>
      <c r="G70" s="310">
        <f t="shared" si="64"/>
        <v>348.90000000000003</v>
      </c>
      <c r="H70" s="310">
        <f t="shared" si="64"/>
        <v>345.49999999999994</v>
      </c>
      <c r="I70" s="310">
        <f t="shared" si="64"/>
        <v>299.19999999999993</v>
      </c>
      <c r="J70" s="280">
        <f t="shared" ref="J70:AG70" si="65">J52+J34</f>
        <v>1279.0000000000005</v>
      </c>
      <c r="K70" s="310">
        <f t="shared" ref="K70:N76" si="66">K52+K34</f>
        <v>334</v>
      </c>
      <c r="L70" s="310">
        <f t="shared" si="66"/>
        <v>401</v>
      </c>
      <c r="M70" s="310">
        <f t="shared" si="66"/>
        <v>424</v>
      </c>
      <c r="N70" s="310">
        <f t="shared" si="66"/>
        <v>360</v>
      </c>
      <c r="O70" s="280">
        <f t="shared" si="65"/>
        <v>1519</v>
      </c>
      <c r="P70" s="310">
        <f t="shared" ref="P70:S76" si="67">P52+P34</f>
        <v>370</v>
      </c>
      <c r="Q70" s="310">
        <f t="shared" si="67"/>
        <v>398</v>
      </c>
      <c r="R70" s="310">
        <f t="shared" si="67"/>
        <v>377</v>
      </c>
      <c r="S70" s="310">
        <f t="shared" si="67"/>
        <v>800</v>
      </c>
      <c r="T70" s="280">
        <f t="shared" si="65"/>
        <v>1945</v>
      </c>
      <c r="U70" s="522">
        <f t="shared" ref="U70:W76" si="68">U52+U34</f>
        <v>1259.237084</v>
      </c>
      <c r="V70" s="522">
        <f t="shared" si="68"/>
        <v>1308.3912619999999</v>
      </c>
      <c r="W70" s="522">
        <f t="shared" si="68"/>
        <v>1302.0742799999998</v>
      </c>
      <c r="X70" s="522">
        <v>845.2322058698257</v>
      </c>
      <c r="Y70" s="280">
        <f t="shared" si="65"/>
        <v>4714.934831869826</v>
      </c>
      <c r="Z70" s="522">
        <f t="shared" si="65"/>
        <v>851.3936622776607</v>
      </c>
      <c r="AA70" s="522">
        <f t="shared" si="65"/>
        <v>889.1766118320927</v>
      </c>
      <c r="AB70" s="522">
        <f t="shared" si="65"/>
        <v>893.7299948323866</v>
      </c>
      <c r="AC70" s="522">
        <f t="shared" si="65"/>
        <v>901.1411939284783</v>
      </c>
      <c r="AD70" s="280">
        <f t="shared" si="65"/>
        <v>3535.441462870618</v>
      </c>
      <c r="AE70" s="280">
        <f t="shared" si="65"/>
        <v>3820.2278332914716</v>
      </c>
      <c r="AF70" s="280">
        <f t="shared" si="65"/>
        <v>3965.919052133037</v>
      </c>
      <c r="AG70" s="280">
        <f t="shared" si="65"/>
        <v>4131.219885760835</v>
      </c>
    </row>
    <row r="71" ht="14.25" customHeight="1" spans="1:33" x14ac:dyDescent="0.25">
      <c r="C71" s="130" t="str">
        <f t="shared" ref="C71:C76" si="69">C17&amp;" EBITDA"</f>
        <v>Collection EBITDA</v>
      </c>
      <c r="D71" s="8"/>
      <c r="E71" s="8"/>
      <c r="F71" s="310">
        <f t="shared" si="64"/>
        <v>-358.7</v>
      </c>
      <c r="G71" s="310">
        <f t="shared" si="64"/>
        <v>-358.3</v>
      </c>
      <c r="H71" s="310">
        <f t="shared" si="64"/>
        <v>-382.3</v>
      </c>
      <c r="I71" s="310">
        <f t="shared" si="64"/>
        <v>-401.6</v>
      </c>
      <c r="J71" s="523">
        <f t="shared" ref="J71:AG71" si="70">J53+J35</f>
        <v>-1500.9</v>
      </c>
      <c r="K71" s="310">
        <f t="shared" si="66"/>
        <v>-399</v>
      </c>
      <c r="L71" s="310">
        <f t="shared" si="66"/>
        <v>-413</v>
      </c>
      <c r="M71" s="310">
        <f t="shared" si="66"/>
        <v>-422</v>
      </c>
      <c r="N71" s="310">
        <f t="shared" si="66"/>
        <v>-443</v>
      </c>
      <c r="O71" s="523">
        <f t="shared" si="70"/>
        <v>-1677</v>
      </c>
      <c r="P71" s="310">
        <f t="shared" ref="P71:Q76" si="71">P53+P35</f>
        <v>-434</v>
      </c>
      <c r="Q71" s="310">
        <f t="shared" si="71"/>
        <v>-463</v>
      </c>
      <c r="R71" s="310">
        <f t="shared" si="67"/>
        <v>-459</v>
      </c>
      <c r="S71" s="310">
        <f t="shared" si="67"/>
        <v>0</v>
      </c>
      <c r="T71" s="523">
        <f t="shared" si="70"/>
        <v>-1356</v>
      </c>
      <c r="U71" s="522">
        <f t="shared" si="68"/>
        <v>1202.059404</v>
      </c>
      <c r="V71" s="522">
        <f t="shared" si="68"/>
        <v>1243.1925919999999</v>
      </c>
      <c r="W71" s="522">
        <f t="shared" si="68"/>
        <v>1248.9195599999998</v>
      </c>
      <c r="X71" s="522">
        <v>788.1928847198258</v>
      </c>
      <c r="Y71" s="523">
        <f t="shared" si="70"/>
        <v>4482.364440719825</v>
      </c>
      <c r="Z71" s="522">
        <f t="shared" si="70"/>
        <v>791.7855374776609</v>
      </c>
      <c r="AA71" s="522">
        <f t="shared" si="70"/>
        <v>821.2542284820927</v>
      </c>
      <c r="AB71" s="522">
        <f t="shared" si="70"/>
        <v>838.3470735523865</v>
      </c>
      <c r="AC71" s="522">
        <f t="shared" si="70"/>
        <v>841.4326090384784</v>
      </c>
      <c r="AD71" s="523">
        <f t="shared" si="70"/>
        <v>3292.8194485506183</v>
      </c>
      <c r="AE71" s="523">
        <f t="shared" si="70"/>
        <v>3560.7536247654</v>
      </c>
      <c r="AF71" s="523">
        <f t="shared" si="70"/>
        <v>3694.757247225279</v>
      </c>
      <c r="AG71" s="523">
        <f t="shared" si="70"/>
        <v>3843.674079575318</v>
      </c>
    </row>
    <row r="72" ht="14.25" customHeight="1" spans="1:33" x14ac:dyDescent="0.25">
      <c r="C72" s="130" t="str">
        <f t="shared" si="69"/>
        <v>Landfill EBITDA</v>
      </c>
      <c r="D72" s="8"/>
      <c r="E72" s="8"/>
      <c r="F72" s="310">
        <f t="shared" si="64"/>
        <v>0</v>
      </c>
      <c r="G72" s="310">
        <f t="shared" si="64"/>
        <v>0</v>
      </c>
      <c r="H72" s="310">
        <f t="shared" si="64"/>
        <v>0</v>
      </c>
      <c r="I72" s="310">
        <f t="shared" si="64"/>
        <v>0</v>
      </c>
      <c r="J72" s="523">
        <f t="shared" ref="J72:AG72" si="72">J54+J36</f>
        <v>0</v>
      </c>
      <c r="K72" s="310">
        <f t="shared" si="66"/>
        <v>0</v>
      </c>
      <c r="L72" s="310">
        <f t="shared" si="66"/>
        <v>0</v>
      </c>
      <c r="M72" s="310">
        <f t="shared" si="66"/>
        <v>0</v>
      </c>
      <c r="N72" s="310">
        <f t="shared" si="66"/>
        <v>0</v>
      </c>
      <c r="O72" s="523">
        <f t="shared" si="72"/>
        <v>0</v>
      </c>
      <c r="P72" s="310">
        <f t="shared" si="71"/>
        <v>0</v>
      </c>
      <c r="Q72" s="310">
        <f t="shared" si="71"/>
        <v>0</v>
      </c>
      <c r="R72" s="310">
        <f t="shared" si="67"/>
        <v>0</v>
      </c>
      <c r="S72" s="310">
        <f t="shared" si="67"/>
        <v>0</v>
      </c>
      <c r="T72" s="523">
        <f t="shared" si="72"/>
        <v>0</v>
      </c>
      <c r="U72" s="522">
        <f t="shared" si="68"/>
        <v>0</v>
      </c>
      <c r="V72" s="522">
        <f t="shared" si="68"/>
        <v>0</v>
      </c>
      <c r="W72" s="522">
        <f t="shared" si="68"/>
        <v>0</v>
      </c>
      <c r="X72" s="522">
        <v>0</v>
      </c>
      <c r="Y72" s="523">
        <f t="shared" si="72"/>
        <v>0</v>
      </c>
      <c r="Z72" s="522">
        <f t="shared" si="72"/>
        <v>0</v>
      </c>
      <c r="AA72" s="522">
        <f t="shared" si="72"/>
        <v>0</v>
      </c>
      <c r="AB72" s="522">
        <f t="shared" si="72"/>
        <v>0</v>
      </c>
      <c r="AC72" s="522">
        <f t="shared" si="72"/>
        <v>0</v>
      </c>
      <c r="AD72" s="523">
        <f t="shared" si="72"/>
        <v>0</v>
      </c>
      <c r="AE72" s="523">
        <f t="shared" si="72"/>
        <v>0</v>
      </c>
      <c r="AF72" s="523">
        <f t="shared" si="72"/>
        <v>0</v>
      </c>
      <c r="AG72" s="523">
        <f t="shared" si="72"/>
        <v>0</v>
      </c>
    </row>
    <row r="73" ht="14.25" customHeight="1" spans="1:33" x14ac:dyDescent="0.25">
      <c r="C73" s="130" t="str">
        <f t="shared" si="69"/>
        <v>Environmental solutions EBITDA</v>
      </c>
      <c r="D73" s="8"/>
      <c r="E73" s="8"/>
      <c r="F73" s="310">
        <f t="shared" si="64"/>
        <v>0</v>
      </c>
      <c r="G73" s="310">
        <f t="shared" si="64"/>
        <v>0</v>
      </c>
      <c r="H73" s="310">
        <f t="shared" si="64"/>
        <v>0</v>
      </c>
      <c r="I73" s="310">
        <f t="shared" si="64"/>
        <v>0</v>
      </c>
      <c r="J73" s="523">
        <f t="shared" ref="J73:AG73" si="73">J55+J37</f>
        <v>0</v>
      </c>
      <c r="K73" s="310">
        <f t="shared" si="66"/>
        <v>0</v>
      </c>
      <c r="L73" s="310">
        <f t="shared" si="66"/>
        <v>0</v>
      </c>
      <c r="M73" s="310">
        <f t="shared" si="66"/>
        <v>0</v>
      </c>
      <c r="N73" s="310">
        <f t="shared" si="66"/>
        <v>0</v>
      </c>
      <c r="O73" s="523">
        <f t="shared" si="73"/>
        <v>0</v>
      </c>
      <c r="P73" s="310">
        <f t="shared" si="71"/>
        <v>0</v>
      </c>
      <c r="Q73" s="310">
        <f t="shared" si="71"/>
        <v>0</v>
      </c>
      <c r="R73" s="310">
        <f t="shared" si="67"/>
        <v>0</v>
      </c>
      <c r="S73" s="310">
        <f t="shared" si="67"/>
        <v>0</v>
      </c>
      <c r="T73" s="523">
        <f t="shared" si="73"/>
        <v>0</v>
      </c>
      <c r="U73" s="522">
        <f t="shared" si="68"/>
        <v>0</v>
      </c>
      <c r="V73" s="522">
        <f t="shared" si="68"/>
        <v>0</v>
      </c>
      <c r="W73" s="522">
        <f t="shared" si="68"/>
        <v>0</v>
      </c>
      <c r="X73" s="522">
        <v>0</v>
      </c>
      <c r="Y73" s="523">
        <f t="shared" si="73"/>
        <v>0</v>
      </c>
      <c r="Z73" s="522">
        <f t="shared" si="73"/>
        <v>0</v>
      </c>
      <c r="AA73" s="522">
        <f t="shared" si="73"/>
        <v>0</v>
      </c>
      <c r="AB73" s="522">
        <f t="shared" si="73"/>
        <v>0</v>
      </c>
      <c r="AC73" s="522">
        <f t="shared" si="73"/>
        <v>0</v>
      </c>
      <c r="AD73" s="523">
        <f t="shared" si="73"/>
        <v>0</v>
      </c>
      <c r="AE73" s="523">
        <f t="shared" si="73"/>
        <v>0</v>
      </c>
      <c r="AF73" s="523">
        <f t="shared" si="73"/>
        <v>0</v>
      </c>
      <c r="AG73" s="523">
        <f t="shared" si="73"/>
        <v>0</v>
      </c>
    </row>
    <row r="74" ht="14.25" customHeight="1" hidden="1" spans="1:33" x14ac:dyDescent="0.25">
      <c r="C74" s="130" t="str">
        <f t="shared" si="69"/>
        <v>Transfer EBITDA</v>
      </c>
      <c r="D74" s="8"/>
      <c r="E74" s="8"/>
      <c r="F74" s="310">
        <f t="shared" si="64"/>
        <v>0</v>
      </c>
      <c r="G74" s="310">
        <f t="shared" si="64"/>
        <v>0</v>
      </c>
      <c r="H74" s="310">
        <f t="shared" si="64"/>
        <v>0</v>
      </c>
      <c r="I74" s="310">
        <f t="shared" si="64"/>
        <v>0</v>
      </c>
      <c r="J74" s="523">
        <f t="shared" ref="J74:AG74" si="74">J56+J38</f>
        <v>0</v>
      </c>
      <c r="K74" s="310">
        <f t="shared" si="66"/>
        <v>0</v>
      </c>
      <c r="L74" s="310">
        <f t="shared" si="66"/>
        <v>0</v>
      </c>
      <c r="M74" s="310">
        <f t="shared" si="66"/>
        <v>0</v>
      </c>
      <c r="N74" s="310">
        <f t="shared" si="66"/>
        <v>0</v>
      </c>
      <c r="O74" s="523">
        <f t="shared" si="74"/>
        <v>0</v>
      </c>
      <c r="P74" s="310">
        <f t="shared" si="71"/>
        <v>0</v>
      </c>
      <c r="Q74" s="310">
        <f t="shared" si="71"/>
        <v>0</v>
      </c>
      <c r="R74" s="310">
        <f t="shared" si="67"/>
        <v>0</v>
      </c>
      <c r="S74" s="310">
        <f t="shared" si="67"/>
        <v>0</v>
      </c>
      <c r="T74" s="523">
        <f t="shared" si="74"/>
        <v>0</v>
      </c>
      <c r="U74" s="522">
        <f t="shared" si="68"/>
        <v>27.5044</v>
      </c>
      <c r="V74" s="522">
        <f t="shared" si="68"/>
        <v>33.45498</v>
      </c>
      <c r="W74" s="522">
        <f t="shared" si="68"/>
        <v>28.06272</v>
      </c>
      <c r="X74" s="522">
        <v>30.1827708</v>
      </c>
      <c r="Y74" s="523">
        <f t="shared" si="74"/>
        <v>119.2048708</v>
      </c>
      <c r="Z74" s="522">
        <f t="shared" si="74"/>
        <v>29.0446464</v>
      </c>
      <c r="AA74" s="522">
        <f t="shared" si="74"/>
        <v>35.19463896</v>
      </c>
      <c r="AB74" s="522">
        <f t="shared" si="74"/>
        <v>29.437793279999994</v>
      </c>
      <c r="AC74" s="522">
        <f t="shared" si="74"/>
        <v>31.790584889999998</v>
      </c>
      <c r="AD74" s="523">
        <f t="shared" si="74"/>
        <v>125.46766352999998</v>
      </c>
      <c r="AE74" s="523">
        <f t="shared" si="74"/>
        <v>135.10069823325603</v>
      </c>
      <c r="AF74" s="523">
        <f t="shared" si="74"/>
        <v>143.01235063339058</v>
      </c>
      <c r="AG74" s="523">
        <f t="shared" si="74"/>
        <v>149.11693497185584</v>
      </c>
    </row>
    <row r="75" ht="14.25" customHeight="1" spans="1:33" x14ac:dyDescent="0.25" outlineLevel="1" collapsed="1">
      <c r="C75" s="130" t="str">
        <f t="shared" si="69"/>
        <v>Other EBITDA</v>
      </c>
      <c r="D75" s="8"/>
      <c r="E75" s="8"/>
      <c r="F75" s="310">
        <f t="shared" si="64"/>
        <v>644.1</v>
      </c>
      <c r="G75" s="310">
        <f t="shared" si="64"/>
        <v>707.2</v>
      </c>
      <c r="H75" s="310">
        <f t="shared" si="64"/>
        <v>727.8</v>
      </c>
      <c r="I75" s="310">
        <f t="shared" si="64"/>
        <v>700.8</v>
      </c>
      <c r="J75" s="523">
        <f t="shared" ref="J75:AG75" si="75">J57+J39</f>
        <v>2779.9000000000005</v>
      </c>
      <c r="K75" s="310">
        <f t="shared" si="66"/>
        <v>733</v>
      </c>
      <c r="L75" s="310">
        <f t="shared" si="66"/>
        <v>814</v>
      </c>
      <c r="M75" s="310">
        <f t="shared" si="66"/>
        <v>846</v>
      </c>
      <c r="N75" s="310">
        <f t="shared" si="66"/>
        <v>803</v>
      </c>
      <c r="O75" s="523">
        <f t="shared" si="75"/>
        <v>3196</v>
      </c>
      <c r="P75" s="310">
        <f t="shared" si="71"/>
        <v>804</v>
      </c>
      <c r="Q75" s="310">
        <f t="shared" si="71"/>
        <v>861</v>
      </c>
      <c r="R75" s="310">
        <f t="shared" si="67"/>
        <v>836</v>
      </c>
      <c r="S75" s="310">
        <f t="shared" si="67"/>
        <v>800</v>
      </c>
      <c r="T75" s="523">
        <f t="shared" si="75"/>
        <v>3301</v>
      </c>
      <c r="U75" s="522">
        <f t="shared" si="68"/>
        <v>29.67328</v>
      </c>
      <c r="V75" s="522">
        <f t="shared" si="68"/>
        <v>31.743689999999994</v>
      </c>
      <c r="W75" s="522">
        <f t="shared" si="68"/>
        <v>25.092</v>
      </c>
      <c r="X75" s="522">
        <v>26.856550350000003</v>
      </c>
      <c r="Y75" s="523">
        <f t="shared" si="75"/>
        <v>113.36552035</v>
      </c>
      <c r="Z75" s="522">
        <f t="shared" si="75"/>
        <v>30.5634784</v>
      </c>
      <c r="AA75" s="522">
        <f t="shared" si="75"/>
        <v>32.72774438999999</v>
      </c>
      <c r="AB75" s="522">
        <f t="shared" si="75"/>
        <v>25.945127999999997</v>
      </c>
      <c r="AC75" s="522">
        <f t="shared" si="75"/>
        <v>27.918000000000003</v>
      </c>
      <c r="AD75" s="523">
        <f t="shared" si="75"/>
        <v>117.15435079</v>
      </c>
      <c r="AE75" s="523">
        <f t="shared" si="75"/>
        <v>124.37351029281601</v>
      </c>
      <c r="AF75" s="523">
        <f t="shared" si="75"/>
        <v>128.14945427436768</v>
      </c>
      <c r="AG75" s="523">
        <f t="shared" si="75"/>
        <v>138.42887121366155</v>
      </c>
    </row>
    <row r="76" ht="14.25" customHeight="1" spans="1:33" x14ac:dyDescent="0.25" outlineLevel="1" collapsed="1">
      <c r="C76" s="130" t="str">
        <f t="shared" si="69"/>
        <v>Professional Services and Other EBITDA</v>
      </c>
      <c r="D76" s="8"/>
      <c r="E76" s="8"/>
      <c r="F76" s="310">
        <f t="shared" si="64"/>
        <v>0</v>
      </c>
      <c r="G76" s="310">
        <f t="shared" si="64"/>
        <v>0</v>
      </c>
      <c r="H76" s="310">
        <f t="shared" si="64"/>
        <v>0</v>
      </c>
      <c r="I76" s="310">
        <f t="shared" si="64"/>
        <v>0</v>
      </c>
      <c r="J76" s="523">
        <f t="shared" ref="J76:AG76" si="76">J58+J40</f>
        <v>0</v>
      </c>
      <c r="K76" s="310">
        <f t="shared" si="66"/>
        <v>0</v>
      </c>
      <c r="L76" s="310">
        <f t="shared" si="66"/>
        <v>0</v>
      </c>
      <c r="M76" s="310">
        <f t="shared" si="66"/>
        <v>0</v>
      </c>
      <c r="N76" s="310">
        <f t="shared" si="66"/>
        <v>0</v>
      </c>
      <c r="O76" s="523">
        <f t="shared" si="76"/>
        <v>0</v>
      </c>
      <c r="P76" s="310">
        <f t="shared" si="71"/>
        <v>0</v>
      </c>
      <c r="Q76" s="310">
        <f t="shared" si="71"/>
        <v>0</v>
      </c>
      <c r="R76" s="310">
        <f t="shared" si="67"/>
        <v>0</v>
      </c>
      <c r="S76" s="310">
        <f t="shared" si="67"/>
        <v>0</v>
      </c>
      <c r="T76" s="523">
        <f t="shared" si="76"/>
        <v>0</v>
      </c>
      <c r="U76" s="522">
        <f t="shared" si="68"/>
        <v>0</v>
      </c>
      <c r="V76" s="522">
        <f t="shared" si="68"/>
        <v>0</v>
      </c>
      <c r="W76" s="522">
        <f t="shared" si="68"/>
        <v>0</v>
      </c>
      <c r="X76" s="522">
        <v>0</v>
      </c>
      <c r="Y76" s="523">
        <f t="shared" si="76"/>
        <v>0</v>
      </c>
      <c r="Z76" s="522">
        <f t="shared" si="76"/>
        <v>0</v>
      </c>
      <c r="AA76" s="522">
        <f t="shared" si="76"/>
        <v>0</v>
      </c>
      <c r="AB76" s="522">
        <f t="shared" si="76"/>
        <v>0</v>
      </c>
      <c r="AC76" s="522">
        <f t="shared" si="76"/>
        <v>0</v>
      </c>
      <c r="AD76" s="523">
        <f t="shared" si="76"/>
        <v>0</v>
      </c>
      <c r="AE76" s="523">
        <f t="shared" si="76"/>
        <v>0</v>
      </c>
      <c r="AF76" s="523">
        <f t="shared" si="76"/>
        <v>0</v>
      </c>
      <c r="AG76" s="523">
        <f t="shared" si="76"/>
        <v>0</v>
      </c>
    </row>
    <row r="77" ht="14.25" customHeight="1" spans="1:33" x14ac:dyDescent="0.25">
      <c r="C77" s="8"/>
      <c r="D77" s="8"/>
      <c r="E77" s="8"/>
      <c r="F77" s="312"/>
      <c r="G77" s="312"/>
      <c r="H77" s="312"/>
      <c r="I77" s="312"/>
      <c r="J77" s="160"/>
      <c r="K77" s="312"/>
      <c r="L77" s="312"/>
      <c r="M77" s="312"/>
      <c r="N77" s="502"/>
      <c r="O77" s="160"/>
      <c r="P77" s="502"/>
      <c r="Q77" s="394"/>
      <c r="R77" s="312"/>
      <c r="S77" s="502"/>
      <c r="T77" s="395"/>
      <c r="U77" s="503"/>
      <c r="V77" s="503"/>
      <c r="W77" s="503"/>
      <c r="X77" s="396"/>
      <c r="Y77" s="160"/>
      <c r="Z77" s="503"/>
      <c r="AA77" s="503"/>
      <c r="AB77" s="503"/>
      <c r="AC77" s="396"/>
      <c r="AD77" s="395"/>
      <c r="AE77" s="395"/>
      <c r="AF77" s="395"/>
      <c r="AG77" s="395"/>
    </row>
    <row r="78" ht="14.25" customHeight="1" spans="1:33" x14ac:dyDescent="0.25">
      <c r="C78" s="8" t="s">
        <v>467</v>
      </c>
      <c r="D78" s="8"/>
      <c r="E78" s="8"/>
      <c r="F78" s="502"/>
      <c r="G78" s="502"/>
      <c r="H78" s="502"/>
      <c r="I78" s="502"/>
      <c r="J78" s="160"/>
      <c r="K78" s="502"/>
      <c r="L78" s="502"/>
      <c r="M78" s="502"/>
      <c r="N78" s="394"/>
      <c r="O78" s="160"/>
      <c r="P78" s="394"/>
      <c r="Q78" s="394"/>
      <c r="R78" s="502"/>
      <c r="S78" s="394"/>
      <c r="T78" s="395"/>
      <c r="U78" s="396"/>
      <c r="V78" s="396"/>
      <c r="W78" s="396"/>
      <c r="X78" s="396"/>
      <c r="Y78" s="160"/>
      <c r="Z78" s="396"/>
      <c r="AA78" s="396"/>
      <c r="AB78" s="396"/>
      <c r="AC78" s="396"/>
      <c r="AD78" s="395"/>
      <c r="AE78" s="395"/>
      <c r="AF78" s="395"/>
      <c r="AG78" s="395"/>
    </row>
    <row r="79" ht="14.25" customHeight="1" spans="1:33" x14ac:dyDescent="0.25">
      <c r="C79" s="130" t="str">
        <f t="shared" ref="C79:C84" si="77">C17</f>
        <v>Collection</v>
      </c>
      <c r="D79" s="8"/>
      <c r="E79" s="8"/>
      <c r="F79" s="394">
        <f t="shared" ref="F79:I84" si="78">IFERROR(F71/F$70,"N/A")</f>
        <v>1</v>
      </c>
      <c r="G79" s="394">
        <f t="shared" si="78"/>
        <v>1</v>
      </c>
      <c r="H79" s="394">
        <f t="shared" si="78"/>
        <v>1</v>
      </c>
      <c r="I79" s="394">
        <f t="shared" si="78"/>
        <v>1</v>
      </c>
      <c r="J79" s="395">
        <f t="shared" ref="J79:AG79" si="79">IFERROR(J71/J$70,"N/A")</f>
        <v>1</v>
      </c>
      <c r="K79" s="394">
        <f t="shared" ref="K79:N84" si="80">IFERROR(K71/K$70,"N/A")</f>
        <v>1</v>
      </c>
      <c r="L79" s="394">
        <f t="shared" si="80"/>
        <v>1</v>
      </c>
      <c r="M79" s="394">
        <f t="shared" si="80"/>
        <v>1</v>
      </c>
      <c r="N79" s="394">
        <f t="shared" si="80"/>
        <v>1</v>
      </c>
      <c r="O79" s="395">
        <f t="shared" si="79"/>
        <v>1</v>
      </c>
      <c r="P79" s="394">
        <f t="shared" ref="P79:S84" si="81">IFERROR(P71/P$70,"N/A")</f>
        <v>1</v>
      </c>
      <c r="Q79" s="394">
        <f t="shared" si="81"/>
        <v>1</v>
      </c>
      <c r="R79" s="394">
        <f t="shared" si="81"/>
        <v>1</v>
      </c>
      <c r="S79" s="394">
        <f t="shared" si="81"/>
        <v>1</v>
      </c>
      <c r="T79" s="395">
        <f t="shared" si="79"/>
        <v>1</v>
      </c>
      <c r="U79" s="396">
        <f t="shared" ref="U79:W84" si="82">IFERROR(U71/U$70,"N/A")</f>
        <v>0.9545933956944997</v>
      </c>
      <c r="V79" s="396">
        <f t="shared" si="82"/>
        <v>0.9501688280153006</v>
      </c>
      <c r="W79" s="396">
        <f t="shared" si="82"/>
        <v>0.9591768911985574</v>
      </c>
      <c r="X79" s="396">
        <v>0.9325163892787296</v>
      </c>
      <c r="Y79" s="395">
        <f t="shared" si="79"/>
        <v>0.9506736785463122</v>
      </c>
      <c r="Z79" s="396">
        <f t="shared" si="79"/>
        <v>0.9299875868930768</v>
      </c>
      <c r="AA79" s="396">
        <f t="shared" si="79"/>
        <v>0.9236120446195158</v>
      </c>
      <c r="AB79" s="396">
        <f t="shared" si="79"/>
        <v>0.9380317080099937</v>
      </c>
      <c r="AC79" s="396">
        <f t="shared" si="79"/>
        <v>0.9337411436828191</v>
      </c>
      <c r="AD79" s="395">
        <f t="shared" si="79"/>
        <v>0.9313743370190036</v>
      </c>
      <c r="AE79" s="395">
        <f t="shared" si="79"/>
        <v>0.9320788654894149</v>
      </c>
      <c r="AF79" s="395">
        <f t="shared" si="79"/>
        <v>0.9316269945646228</v>
      </c>
      <c r="AG79" s="395">
        <f t="shared" si="79"/>
        <v>0.9303968769184601</v>
      </c>
    </row>
    <row r="80" ht="14.25" customHeight="1" spans="1:33" x14ac:dyDescent="0.25">
      <c r="C80" s="130" t="str">
        <f t="shared" si="77"/>
        <v>Landfill</v>
      </c>
      <c r="D80" s="8"/>
      <c r="E80" s="8"/>
      <c r="F80" s="394">
        <f t="shared" si="78"/>
        <v>0</v>
      </c>
      <c r="G80" s="394">
        <f t="shared" si="78"/>
        <v>0</v>
      </c>
      <c r="H80" s="394">
        <f t="shared" si="78"/>
        <v>0</v>
      </c>
      <c r="I80" s="394">
        <f t="shared" si="78"/>
        <v>0</v>
      </c>
      <c r="J80" s="395">
        <f t="shared" ref="J80:AG80" si="83">IFERROR(J72/J$70,"N/A")</f>
        <v>0</v>
      </c>
      <c r="K80" s="394">
        <f t="shared" si="80"/>
        <v>0</v>
      </c>
      <c r="L80" s="394">
        <f t="shared" si="80"/>
        <v>0</v>
      </c>
      <c r="M80" s="394">
        <f t="shared" si="80"/>
        <v>0</v>
      </c>
      <c r="N80" s="394">
        <f t="shared" si="80"/>
        <v>0</v>
      </c>
      <c r="O80" s="395">
        <f t="shared" si="83"/>
        <v>0</v>
      </c>
      <c r="P80" s="394">
        <f t="shared" ref="P80:Q84" si="84">IFERROR(P72/P$70,"N/A")</f>
        <v>0</v>
      </c>
      <c r="Q80" s="394">
        <f t="shared" si="84"/>
        <v>0</v>
      </c>
      <c r="R80" s="394">
        <f t="shared" si="81"/>
        <v>0</v>
      </c>
      <c r="S80" s="394">
        <f t="shared" si="81"/>
        <v>0</v>
      </c>
      <c r="T80" s="395">
        <f t="shared" si="83"/>
        <v>0</v>
      </c>
      <c r="U80" s="396">
        <f t="shared" si="82"/>
        <v>0</v>
      </c>
      <c r="V80" s="396">
        <f t="shared" si="82"/>
        <v>0</v>
      </c>
      <c r="W80" s="396">
        <f t="shared" si="82"/>
        <v>0</v>
      </c>
      <c r="X80" s="396">
        <v>0</v>
      </c>
      <c r="Y80" s="395">
        <f t="shared" si="83"/>
        <v>0</v>
      </c>
      <c r="Z80" s="396">
        <f t="shared" si="83"/>
        <v>0</v>
      </c>
      <c r="AA80" s="396">
        <f t="shared" si="83"/>
        <v>0</v>
      </c>
      <c r="AB80" s="396">
        <f t="shared" si="83"/>
        <v>0</v>
      </c>
      <c r="AC80" s="396">
        <f t="shared" si="83"/>
        <v>0</v>
      </c>
      <c r="AD80" s="395">
        <f t="shared" si="83"/>
        <v>0</v>
      </c>
      <c r="AE80" s="395">
        <f t="shared" si="83"/>
        <v>0</v>
      </c>
      <c r="AF80" s="395">
        <f t="shared" si="83"/>
        <v>0</v>
      </c>
      <c r="AG80" s="395">
        <f t="shared" si="83"/>
        <v>0</v>
      </c>
    </row>
    <row r="81" ht="14.25" customHeight="1" spans="1:33" x14ac:dyDescent="0.25">
      <c r="C81" s="130" t="str">
        <f t="shared" si="77"/>
        <v>Environmental solutions</v>
      </c>
      <c r="D81" s="8"/>
      <c r="E81" s="8"/>
      <c r="F81" s="394">
        <f t="shared" si="78"/>
        <v>0</v>
      </c>
      <c r="G81" s="394">
        <f t="shared" si="78"/>
        <v>0</v>
      </c>
      <c r="H81" s="394">
        <f t="shared" si="78"/>
        <v>0</v>
      </c>
      <c r="I81" s="394">
        <f t="shared" si="78"/>
        <v>0</v>
      </c>
      <c r="J81" s="395">
        <f t="shared" ref="J81:AG81" si="85">IFERROR(J73/J$70,"N/A")</f>
        <v>0</v>
      </c>
      <c r="K81" s="394">
        <f t="shared" si="80"/>
        <v>0</v>
      </c>
      <c r="L81" s="394">
        <f t="shared" si="80"/>
        <v>0</v>
      </c>
      <c r="M81" s="394">
        <f t="shared" si="80"/>
        <v>0</v>
      </c>
      <c r="N81" s="394">
        <f t="shared" si="80"/>
        <v>0</v>
      </c>
      <c r="O81" s="395">
        <f t="shared" si="85"/>
        <v>0</v>
      </c>
      <c r="P81" s="394">
        <f t="shared" si="84"/>
        <v>0</v>
      </c>
      <c r="Q81" s="394">
        <f t="shared" si="84"/>
        <v>0</v>
      </c>
      <c r="R81" s="394">
        <f t="shared" si="81"/>
        <v>0</v>
      </c>
      <c r="S81" s="394">
        <f t="shared" si="81"/>
        <v>0</v>
      </c>
      <c r="T81" s="395">
        <f t="shared" si="85"/>
        <v>0</v>
      </c>
      <c r="U81" s="396">
        <f t="shared" si="82"/>
        <v>0</v>
      </c>
      <c r="V81" s="396">
        <f t="shared" si="82"/>
        <v>0</v>
      </c>
      <c r="W81" s="396">
        <f t="shared" si="82"/>
        <v>0</v>
      </c>
      <c r="X81" s="396">
        <v>0</v>
      </c>
      <c r="Y81" s="395">
        <f t="shared" si="85"/>
        <v>0</v>
      </c>
      <c r="Z81" s="396">
        <f t="shared" si="85"/>
        <v>0</v>
      </c>
      <c r="AA81" s="396">
        <f t="shared" si="85"/>
        <v>0</v>
      </c>
      <c r="AB81" s="396">
        <f t="shared" si="85"/>
        <v>0</v>
      </c>
      <c r="AC81" s="396">
        <f t="shared" si="85"/>
        <v>0</v>
      </c>
      <c r="AD81" s="395">
        <f t="shared" si="85"/>
        <v>0</v>
      </c>
      <c r="AE81" s="395">
        <f t="shared" si="85"/>
        <v>0</v>
      </c>
      <c r="AF81" s="395">
        <f t="shared" si="85"/>
        <v>0</v>
      </c>
      <c r="AG81" s="395">
        <f t="shared" si="85"/>
        <v>0</v>
      </c>
    </row>
    <row r="82" ht="14.25" customHeight="1" hidden="1" spans="1:33" x14ac:dyDescent="0.25">
      <c r="C82" s="130" t="str">
        <f t="shared" si="77"/>
        <v>Transfer</v>
      </c>
      <c r="D82" s="8"/>
      <c r="E82" s="8"/>
      <c r="F82" s="394">
        <f t="shared" si="78"/>
        <v>0</v>
      </c>
      <c r="G82" s="394">
        <f t="shared" si="78"/>
        <v>0</v>
      </c>
      <c r="H82" s="394">
        <f t="shared" si="78"/>
        <v>0</v>
      </c>
      <c r="I82" s="394">
        <f t="shared" si="78"/>
        <v>0</v>
      </c>
      <c r="J82" s="395">
        <f t="shared" ref="J82:AG82" si="86">IFERROR(J74/J$70,"N/A")</f>
        <v>0</v>
      </c>
      <c r="K82" s="394">
        <f t="shared" si="80"/>
        <v>0</v>
      </c>
      <c r="L82" s="394">
        <f t="shared" si="80"/>
        <v>0</v>
      </c>
      <c r="M82" s="394">
        <f t="shared" si="80"/>
        <v>0</v>
      </c>
      <c r="N82" s="394">
        <f t="shared" si="80"/>
        <v>0</v>
      </c>
      <c r="O82" s="395">
        <f t="shared" si="86"/>
        <v>0</v>
      </c>
      <c r="P82" s="394">
        <f t="shared" si="84"/>
        <v>0</v>
      </c>
      <c r="Q82" s="394">
        <f t="shared" si="84"/>
        <v>0</v>
      </c>
      <c r="R82" s="394">
        <f t="shared" si="81"/>
        <v>0</v>
      </c>
      <c r="S82" s="394">
        <f t="shared" si="81"/>
        <v>0</v>
      </c>
      <c r="T82" s="395">
        <f t="shared" si="86"/>
        <v>0</v>
      </c>
      <c r="U82" s="396">
        <f t="shared" si="82"/>
        <v>0.02184211404625374</v>
      </c>
      <c r="V82" s="396">
        <f t="shared" si="82"/>
        <v>0.02556955321519107</v>
      </c>
      <c r="W82" s="396">
        <f t="shared" si="82"/>
        <v>0.021552318812410612</v>
      </c>
      <c r="X82" s="396">
        <v>0.035709442435335276</v>
      </c>
      <c r="Y82" s="395">
        <f t="shared" si="86"/>
        <v>0.025282400510449114</v>
      </c>
      <c r="Z82" s="396">
        <f t="shared" si="86"/>
        <v>0.03411423843853775</v>
      </c>
      <c r="AA82" s="396">
        <f t="shared" si="86"/>
        <v>0.03958115687218049</v>
      </c>
      <c r="AB82" s="396">
        <f t="shared" si="86"/>
        <v>0.032938128349961966</v>
      </c>
      <c r="AC82" s="396">
        <f t="shared" si="86"/>
        <v>0.03527813965690614</v>
      </c>
      <c r="AD82" s="395">
        <f t="shared" si="86"/>
        <v>0.03548854219414113</v>
      </c>
      <c r="AE82" s="395">
        <f t="shared" si="86"/>
        <v>0.035364565708861026</v>
      </c>
      <c r="AF82" s="395">
        <f t="shared" si="86"/>
        <v>0.03606033021689451</v>
      </c>
      <c r="AG82" s="395">
        <f t="shared" si="86"/>
        <v>0.03609513390604563</v>
      </c>
    </row>
    <row r="83" ht="14.25" customHeight="1" spans="1:33" x14ac:dyDescent="0.25" outlineLevel="1" collapsed="1">
      <c r="C83" s="130" t="str">
        <f t="shared" si="77"/>
        <v>Other</v>
      </c>
      <c r="D83" s="8"/>
      <c r="E83" s="8"/>
      <c r="F83" s="394">
        <f t="shared" si="78"/>
        <v>0</v>
      </c>
      <c r="G83" s="394">
        <f t="shared" si="78"/>
        <v>0</v>
      </c>
      <c r="H83" s="394">
        <f t="shared" si="78"/>
        <v>0</v>
      </c>
      <c r="I83" s="394">
        <f t="shared" si="78"/>
        <v>0</v>
      </c>
      <c r="J83" s="395">
        <f t="shared" ref="J83:AG83" si="87">IFERROR(J75/J$70,"N/A")</f>
        <v>0</v>
      </c>
      <c r="K83" s="394">
        <f t="shared" si="80"/>
        <v>0</v>
      </c>
      <c r="L83" s="394">
        <f t="shared" si="80"/>
        <v>0</v>
      </c>
      <c r="M83" s="394">
        <f t="shared" si="80"/>
        <v>0</v>
      </c>
      <c r="N83" s="394">
        <f t="shared" si="80"/>
        <v>0</v>
      </c>
      <c r="O83" s="395">
        <f t="shared" si="87"/>
        <v>0</v>
      </c>
      <c r="P83" s="394">
        <f t="shared" si="84"/>
        <v>0</v>
      </c>
      <c r="Q83" s="394">
        <f t="shared" si="84"/>
        <v>0</v>
      </c>
      <c r="R83" s="394">
        <f t="shared" si="81"/>
        <v>0</v>
      </c>
      <c r="S83" s="394">
        <f t="shared" si="81"/>
        <v>0</v>
      </c>
      <c r="T83" s="395">
        <f t="shared" si="87"/>
        <v>0</v>
      </c>
      <c r="U83" s="396">
        <f t="shared" si="82"/>
        <v>0.023564490259246524</v>
      </c>
      <c r="V83" s="396">
        <f t="shared" si="82"/>
        <v>0.02426161876950841</v>
      </c>
      <c r="W83" s="396">
        <f t="shared" si="82"/>
        <v>0.019270789989031964</v>
      </c>
      <c r="X83" s="396">
        <v>0.03177416828593512</v>
      </c>
      <c r="Y83" s="395">
        <f t="shared" si="87"/>
        <v>0.024043920943238584</v>
      </c>
      <c r="Z83" s="396">
        <f t="shared" si="87"/>
        <v>0.03589817466838564</v>
      </c>
      <c r="AA83" s="396">
        <f t="shared" si="87"/>
        <v>0.03680679850830368</v>
      </c>
      <c r="AB83" s="396">
        <f t="shared" si="87"/>
        <v>0.02903016364004415</v>
      </c>
      <c r="AC83" s="396">
        <f t="shared" si="87"/>
        <v>0.03098071666027488</v>
      </c>
      <c r="AD83" s="395">
        <f t="shared" si="87"/>
        <v>0.03313712078685528</v>
      </c>
      <c r="AE83" s="395">
        <f t="shared" si="87"/>
        <v>0.03255656880172432</v>
      </c>
      <c r="AF83" s="395">
        <f t="shared" si="87"/>
        <v>0.032312675218482724</v>
      </c>
      <c r="AG83" s="395">
        <f t="shared" si="87"/>
        <v>0.03350798917549447</v>
      </c>
    </row>
    <row r="84" ht="14.25" customHeight="1" spans="1:33" x14ac:dyDescent="0.25" outlineLevel="1" collapsed="1">
      <c r="C84" s="130" t="str">
        <f t="shared" si="77"/>
        <v>Professional Services and Other</v>
      </c>
      <c r="D84" s="8"/>
      <c r="E84" s="8"/>
      <c r="F84" s="394">
        <f t="shared" si="78"/>
        <v>0</v>
      </c>
      <c r="G84" s="394">
        <f t="shared" si="78"/>
        <v>0</v>
      </c>
      <c r="H84" s="394">
        <f t="shared" si="78"/>
        <v>0</v>
      </c>
      <c r="I84" s="394">
        <f t="shared" si="78"/>
        <v>0</v>
      </c>
      <c r="J84" s="395">
        <f t="shared" ref="J84:AG84" si="88">IFERROR(J76/J$70,"N/A")</f>
        <v>0</v>
      </c>
      <c r="K84" s="394">
        <f t="shared" si="80"/>
        <v>0</v>
      </c>
      <c r="L84" s="394">
        <f t="shared" si="80"/>
        <v>0</v>
      </c>
      <c r="M84" s="394">
        <f t="shared" si="80"/>
        <v>0</v>
      </c>
      <c r="N84" s="394">
        <f t="shared" si="80"/>
        <v>0</v>
      </c>
      <c r="O84" s="395">
        <f t="shared" si="88"/>
        <v>0</v>
      </c>
      <c r="P84" s="394">
        <f t="shared" si="84"/>
        <v>0</v>
      </c>
      <c r="Q84" s="394">
        <f t="shared" si="84"/>
        <v>0</v>
      </c>
      <c r="R84" s="394">
        <f t="shared" si="81"/>
        <v>0</v>
      </c>
      <c r="S84" s="394">
        <f t="shared" si="81"/>
        <v>0</v>
      </c>
      <c r="T84" s="395">
        <f t="shared" si="88"/>
        <v>0</v>
      </c>
      <c r="U84" s="396">
        <f t="shared" si="82"/>
        <v>0</v>
      </c>
      <c r="V84" s="396">
        <f t="shared" si="82"/>
        <v>0</v>
      </c>
      <c r="W84" s="396">
        <f t="shared" si="82"/>
        <v>0</v>
      </c>
      <c r="X84" s="396">
        <v>0</v>
      </c>
      <c r="Y84" s="395">
        <f t="shared" si="88"/>
        <v>0</v>
      </c>
      <c r="Z84" s="396">
        <f t="shared" si="88"/>
        <v>0</v>
      </c>
      <c r="AA84" s="396">
        <f t="shared" si="88"/>
        <v>0</v>
      </c>
      <c r="AB84" s="396">
        <f t="shared" si="88"/>
        <v>0</v>
      </c>
      <c r="AC84" s="396">
        <f t="shared" si="88"/>
        <v>0</v>
      </c>
      <c r="AD84" s="395">
        <f t="shared" si="88"/>
        <v>0</v>
      </c>
      <c r="AE84" s="395">
        <f t="shared" si="88"/>
        <v>0</v>
      </c>
      <c r="AF84" s="395">
        <f t="shared" si="88"/>
        <v>0</v>
      </c>
      <c r="AG84" s="395">
        <f t="shared" si="88"/>
        <v>0</v>
      </c>
    </row>
    <row r="85" ht="14.25" customHeight="1" hidden="1" spans="1:33" x14ac:dyDescent="0.25">
      <c r="C85" s="130"/>
      <c r="D85" s="8"/>
      <c r="E85" s="8"/>
      <c r="F85" s="394"/>
      <c r="G85" s="394"/>
      <c r="H85" s="394"/>
      <c r="I85" s="394"/>
      <c r="J85" s="395"/>
      <c r="K85" s="394"/>
      <c r="L85" s="394"/>
      <c r="M85" s="394"/>
      <c r="N85" s="394"/>
      <c r="O85" s="395"/>
      <c r="P85" s="394"/>
      <c r="Q85" s="394"/>
      <c r="R85" s="394"/>
      <c r="S85" s="394"/>
      <c r="T85" s="395"/>
      <c r="U85" s="396"/>
      <c r="V85" s="396"/>
      <c r="W85" s="396"/>
      <c r="X85" s="396"/>
      <c r="Y85" s="395"/>
      <c r="Z85" s="396"/>
      <c r="AA85" s="396"/>
      <c r="AB85" s="396"/>
      <c r="AC85" s="396"/>
      <c r="AD85" s="395"/>
      <c r="AE85" s="395"/>
      <c r="AF85" s="395"/>
      <c r="AG85" s="395"/>
    </row>
    <row r="86" ht="14.25" customHeight="1" spans="1:33" x14ac:dyDescent="0.25">
      <c r="C86" s="8"/>
      <c r="D86" s="8"/>
      <c r="E86" s="8"/>
      <c r="F86" s="312"/>
      <c r="G86" s="312"/>
      <c r="H86" s="312"/>
      <c r="I86" s="312"/>
      <c r="J86" s="160"/>
      <c r="K86" s="312"/>
      <c r="L86" s="312"/>
      <c r="M86" s="312"/>
      <c r="N86" s="312"/>
      <c r="O86" s="160"/>
      <c r="P86" s="312"/>
      <c r="Q86" s="312"/>
      <c r="R86" s="312"/>
      <c r="S86" s="312"/>
      <c r="T86" s="160"/>
      <c r="U86" s="315"/>
      <c r="V86" s="315"/>
      <c r="W86" s="315"/>
      <c r="X86" s="315"/>
      <c r="Y86" s="160"/>
      <c r="Z86" s="315"/>
      <c r="AA86" s="315"/>
      <c r="AB86" s="315"/>
      <c r="AC86" s="315"/>
      <c r="AD86" s="160"/>
      <c r="AE86" s="160"/>
      <c r="AF86" s="160"/>
      <c r="AG86" s="160"/>
    </row>
    <row r="87" ht="14.25" customHeight="1" hidden="1" spans="1:33" x14ac:dyDescent="0.25">
      <c r="C87" s="36" t="s">
        <v>468</v>
      </c>
      <c r="D87" s="37"/>
      <c r="E87" s="37"/>
      <c r="F87" s="524"/>
      <c r="G87" s="524"/>
      <c r="H87" s="524"/>
      <c r="I87" s="524"/>
      <c r="J87" s="524"/>
      <c r="K87" s="524"/>
      <c r="L87" s="524"/>
      <c r="M87" s="524"/>
      <c r="N87" s="524"/>
      <c r="O87" s="524"/>
      <c r="P87" s="524"/>
      <c r="Q87" s="524"/>
      <c r="R87" s="524"/>
      <c r="S87" s="524"/>
      <c r="T87" s="524"/>
      <c r="U87" s="524"/>
      <c r="V87" s="524"/>
      <c r="W87" s="524"/>
      <c r="X87" s="524"/>
      <c r="Y87" s="524"/>
      <c r="Z87" s="524"/>
      <c r="AA87" s="524"/>
      <c r="AB87" s="524"/>
      <c r="AC87" s="524"/>
      <c r="AD87" s="524"/>
      <c r="AE87" s="524"/>
      <c r="AF87" s="524"/>
      <c r="AG87" s="525"/>
    </row>
    <row r="88" ht="14.25" customHeight="1" hidden="1" spans="1:33" x14ac:dyDescent="0.25">
      <c r="C88" s="8"/>
      <c r="D88" s="8"/>
      <c r="E88" s="8"/>
      <c r="F88" s="312"/>
      <c r="G88" s="312"/>
      <c r="H88" s="312"/>
      <c r="I88" s="312"/>
      <c r="J88" s="160"/>
      <c r="K88" s="312"/>
      <c r="L88" s="312"/>
      <c r="M88" s="312"/>
      <c r="N88" s="312"/>
      <c r="O88" s="160"/>
      <c r="P88" s="312"/>
      <c r="Q88" s="312"/>
      <c r="R88" s="312"/>
      <c r="S88" s="312"/>
      <c r="T88" s="160"/>
      <c r="U88" s="315"/>
      <c r="V88" s="315"/>
      <c r="W88" s="315"/>
      <c r="X88" s="315"/>
      <c r="Y88" s="160"/>
      <c r="Z88" s="315"/>
      <c r="AA88" s="315"/>
      <c r="AB88" s="315"/>
      <c r="AC88" s="315"/>
      <c r="AD88" s="160"/>
      <c r="AE88" s="160"/>
      <c r="AF88" s="160"/>
      <c r="AG88" s="160"/>
    </row>
    <row r="89" ht="14.25" customHeight="1" spans="1:33" x14ac:dyDescent="0.25" outlineLevel="1" collapsed="1">
      <c r="C89" s="8" t="s">
        <v>245</v>
      </c>
      <c r="D89" s="8"/>
      <c r="E89" s="8"/>
      <c r="F89" s="526">
        <f>SUM(F90:F94)</f>
        <v>0</v>
      </c>
      <c r="G89" s="526">
        <f>SUM(G90:G94)</f>
        <v>0</v>
      </c>
      <c r="H89" s="526">
        <f>SUM(H90:H94)</f>
        <v>0</v>
      </c>
      <c r="I89" s="526">
        <f>SUM(I90:I94)</f>
        <v>0</v>
      </c>
      <c r="J89" s="280">
        <f t="shared" ref="J89:J94" si="89">SUM(F89:I89)</f>
        <v>0</v>
      </c>
      <c r="K89" s="526">
        <f>SUM(K90:K94)</f>
        <v>0</v>
      </c>
      <c r="L89" s="526">
        <f>SUM(L90:L94)</f>
        <v>0</v>
      </c>
      <c r="M89" s="526">
        <f>SUM(M90:M94)</f>
        <v>0</v>
      </c>
      <c r="N89" s="526">
        <f>SUM(N90:N94)</f>
        <v>0</v>
      </c>
      <c r="O89" s="280">
        <f t="shared" ref="O89:O94" si="90">SUM(K89:N89)</f>
        <v>0</v>
      </c>
      <c r="P89" s="526">
        <f>SUM(P90:P94)</f>
        <v>0</v>
      </c>
      <c r="Q89" s="526">
        <f>SUM(Q90:Q94)</f>
        <v>0</v>
      </c>
      <c r="R89" s="526">
        <f>SUM(R90:R94)</f>
        <v>0</v>
      </c>
      <c r="S89" s="526">
        <f>SUM(S90:S94)</f>
        <v>0</v>
      </c>
      <c r="T89" s="280">
        <f t="shared" ref="T89:T94" si="91">SUM(P89:S89)</f>
        <v>0</v>
      </c>
      <c r="U89" s="527">
        <f>SUM(U90:U94)</f>
        <v>0</v>
      </c>
      <c r="V89" s="527">
        <f>SUM(V90:V94)</f>
        <v>0</v>
      </c>
      <c r="W89" s="527">
        <f>SUM(W90:W94)</f>
        <v>0</v>
      </c>
      <c r="X89" s="527">
        <v>0</v>
      </c>
      <c r="Y89" s="280">
        <f t="shared" ref="Y89:Y94" si="92">SUM(U89:X89)</f>
        <v>0</v>
      </c>
      <c r="Z89" s="527">
        <f>SUM(Z90:Z94)</f>
        <v>0</v>
      </c>
      <c r="AA89" s="527">
        <f>SUM(AA90:AA94)</f>
        <v>0</v>
      </c>
      <c r="AB89" s="527">
        <f>SUM(AB90:AB94)</f>
        <v>0</v>
      </c>
      <c r="AC89" s="527">
        <f>SUM(AC90:AC94)</f>
        <v>0</v>
      </c>
      <c r="AD89" s="280">
        <f t="shared" ref="AD89:AD94" si="93">SUM(Z89:AC89)</f>
        <v>0</v>
      </c>
      <c r="AE89" s="528">
        <f>SUM(AE90:AE94)</f>
        <v>0</v>
      </c>
      <c r="AF89" s="528">
        <f>SUM(AF90:AF94)</f>
        <v>0</v>
      </c>
      <c r="AG89" s="528">
        <f>SUM(AG90:AG94)</f>
        <v>0</v>
      </c>
    </row>
    <row r="90" ht="14.25" customHeight="1" spans="1:33" x14ac:dyDescent="0.25" outlineLevel="1" collapsed="1">
      <c r="C90" s="504" t="s">
        <v>469</v>
      </c>
      <c r="D90" s="8"/>
      <c r="E90" s="8"/>
      <c r="F90" s="497">
        <v>0</v>
      </c>
      <c r="G90" s="497">
        <v>0</v>
      </c>
      <c r="H90" s="497">
        <v>0</v>
      </c>
      <c r="I90" s="497">
        <v>0</v>
      </c>
      <c r="J90" s="498">
        <f t="shared" si="89"/>
        <v>0</v>
      </c>
      <c r="K90" s="497">
        <v>0</v>
      </c>
      <c r="L90" s="497">
        <v>0</v>
      </c>
      <c r="M90" s="497">
        <v>0</v>
      </c>
      <c r="N90" s="497">
        <v>0</v>
      </c>
      <c r="O90" s="498">
        <f t="shared" si="90"/>
        <v>0</v>
      </c>
      <c r="P90" s="497">
        <v>0</v>
      </c>
      <c r="Q90" s="497">
        <v>0</v>
      </c>
      <c r="R90" s="497">
        <v>0</v>
      </c>
      <c r="S90" s="497">
        <v>0</v>
      </c>
      <c r="T90" s="498">
        <f t="shared" si="91"/>
        <v>0</v>
      </c>
      <c r="U90" s="505">
        <v>0</v>
      </c>
      <c r="V90" s="505">
        <v>0</v>
      </c>
      <c r="W90" s="505">
        <v>0</v>
      </c>
      <c r="X90" s="505">
        <v>0</v>
      </c>
      <c r="Y90" s="498">
        <f t="shared" si="92"/>
        <v>0</v>
      </c>
      <c r="Z90" s="505">
        <v>0</v>
      </c>
      <c r="AA90" s="505">
        <v>0</v>
      </c>
      <c r="AB90" s="505">
        <v>0</v>
      </c>
      <c r="AC90" s="505">
        <v>0</v>
      </c>
      <c r="AD90" s="498">
        <f t="shared" si="93"/>
        <v>0</v>
      </c>
      <c r="AE90" s="506">
        <v>0</v>
      </c>
      <c r="AF90" s="506">
        <v>0</v>
      </c>
      <c r="AG90" s="506">
        <v>0</v>
      </c>
    </row>
    <row r="91" ht="14.25" customHeight="1" spans="1:33" x14ac:dyDescent="0.25" outlineLevel="1" collapsed="1">
      <c r="C91" s="504" t="s">
        <v>470</v>
      </c>
      <c r="D91" s="8"/>
      <c r="E91" s="8"/>
      <c r="F91" s="497">
        <v>0</v>
      </c>
      <c r="G91" s="497">
        <v>0</v>
      </c>
      <c r="H91" s="497">
        <v>0</v>
      </c>
      <c r="I91" s="497">
        <v>0</v>
      </c>
      <c r="J91" s="498">
        <f t="shared" si="89"/>
        <v>0</v>
      </c>
      <c r="K91" s="497">
        <v>0</v>
      </c>
      <c r="L91" s="497">
        <v>0</v>
      </c>
      <c r="M91" s="497">
        <v>0</v>
      </c>
      <c r="N91" s="497">
        <v>0</v>
      </c>
      <c r="O91" s="498">
        <f t="shared" si="90"/>
        <v>0</v>
      </c>
      <c r="P91" s="497">
        <v>0</v>
      </c>
      <c r="Q91" s="497">
        <v>0</v>
      </c>
      <c r="R91" s="497">
        <v>0</v>
      </c>
      <c r="S91" s="497">
        <v>0</v>
      </c>
      <c r="T91" s="498">
        <f t="shared" si="91"/>
        <v>0</v>
      </c>
      <c r="U91" s="505">
        <v>0</v>
      </c>
      <c r="V91" s="505">
        <v>0</v>
      </c>
      <c r="W91" s="505">
        <v>0</v>
      </c>
      <c r="X91" s="505">
        <v>0</v>
      </c>
      <c r="Y91" s="498">
        <f t="shared" si="92"/>
        <v>0</v>
      </c>
      <c r="Z91" s="505">
        <v>0</v>
      </c>
      <c r="AA91" s="505">
        <v>0</v>
      </c>
      <c r="AB91" s="505">
        <v>0</v>
      </c>
      <c r="AC91" s="505">
        <v>0</v>
      </c>
      <c r="AD91" s="498">
        <f t="shared" si="93"/>
        <v>0</v>
      </c>
      <c r="AE91" s="506">
        <v>0</v>
      </c>
      <c r="AF91" s="506">
        <v>0</v>
      </c>
      <c r="AG91" s="506">
        <v>0</v>
      </c>
    </row>
    <row r="92" ht="14.25" customHeight="1" spans="1:33" x14ac:dyDescent="0.25" outlineLevel="1" collapsed="1">
      <c r="C92" s="504" t="s">
        <v>471</v>
      </c>
      <c r="D92" s="8"/>
      <c r="E92" s="8"/>
      <c r="F92" s="497">
        <v>0</v>
      </c>
      <c r="G92" s="497">
        <v>0</v>
      </c>
      <c r="H92" s="497">
        <v>0</v>
      </c>
      <c r="I92" s="497">
        <v>0</v>
      </c>
      <c r="J92" s="498">
        <f t="shared" si="89"/>
        <v>0</v>
      </c>
      <c r="K92" s="497">
        <v>0</v>
      </c>
      <c r="L92" s="497">
        <v>0</v>
      </c>
      <c r="M92" s="497">
        <v>0</v>
      </c>
      <c r="N92" s="497">
        <v>0</v>
      </c>
      <c r="O92" s="498">
        <f t="shared" si="90"/>
        <v>0</v>
      </c>
      <c r="P92" s="497">
        <v>0</v>
      </c>
      <c r="Q92" s="497">
        <v>0</v>
      </c>
      <c r="R92" s="497">
        <v>0</v>
      </c>
      <c r="S92" s="497">
        <v>0</v>
      </c>
      <c r="T92" s="498">
        <f t="shared" si="91"/>
        <v>0</v>
      </c>
      <c r="U92" s="505">
        <v>0</v>
      </c>
      <c r="V92" s="505">
        <v>0</v>
      </c>
      <c r="W92" s="505">
        <v>0</v>
      </c>
      <c r="X92" s="505">
        <v>0</v>
      </c>
      <c r="Y92" s="498">
        <f t="shared" si="92"/>
        <v>0</v>
      </c>
      <c r="Z92" s="505">
        <v>0</v>
      </c>
      <c r="AA92" s="505">
        <v>0</v>
      </c>
      <c r="AB92" s="505">
        <v>0</v>
      </c>
      <c r="AC92" s="505">
        <v>0</v>
      </c>
      <c r="AD92" s="498">
        <f t="shared" si="93"/>
        <v>0</v>
      </c>
      <c r="AE92" s="506">
        <v>0</v>
      </c>
      <c r="AF92" s="506">
        <v>0</v>
      </c>
      <c r="AG92" s="506">
        <v>0</v>
      </c>
    </row>
    <row r="93" ht="14.25" customHeight="1" spans="1:33" x14ac:dyDescent="0.25" outlineLevel="1" collapsed="1">
      <c r="C93" s="504" t="s">
        <v>472</v>
      </c>
      <c r="D93" s="8"/>
      <c r="E93" s="8"/>
      <c r="F93" s="497">
        <v>0</v>
      </c>
      <c r="G93" s="497">
        <v>0</v>
      </c>
      <c r="H93" s="497">
        <v>0</v>
      </c>
      <c r="I93" s="497">
        <v>0</v>
      </c>
      <c r="J93" s="498">
        <f t="shared" si="89"/>
        <v>0</v>
      </c>
      <c r="K93" s="497">
        <v>0</v>
      </c>
      <c r="L93" s="497">
        <v>0</v>
      </c>
      <c r="M93" s="497">
        <v>0</v>
      </c>
      <c r="N93" s="497">
        <v>0</v>
      </c>
      <c r="O93" s="498">
        <f t="shared" si="90"/>
        <v>0</v>
      </c>
      <c r="P93" s="497">
        <v>0</v>
      </c>
      <c r="Q93" s="497">
        <v>0</v>
      </c>
      <c r="R93" s="497">
        <v>0</v>
      </c>
      <c r="S93" s="497">
        <v>0</v>
      </c>
      <c r="T93" s="498">
        <f t="shared" si="91"/>
        <v>0</v>
      </c>
      <c r="U93" s="505">
        <v>0</v>
      </c>
      <c r="V93" s="505">
        <v>0</v>
      </c>
      <c r="W93" s="505">
        <v>0</v>
      </c>
      <c r="X93" s="505">
        <v>0</v>
      </c>
      <c r="Y93" s="498">
        <f t="shared" si="92"/>
        <v>0</v>
      </c>
      <c r="Z93" s="505">
        <v>0</v>
      </c>
      <c r="AA93" s="505">
        <v>0</v>
      </c>
      <c r="AB93" s="505">
        <v>0</v>
      </c>
      <c r="AC93" s="505">
        <v>0</v>
      </c>
      <c r="AD93" s="498">
        <f t="shared" si="93"/>
        <v>0</v>
      </c>
      <c r="AE93" s="506">
        <v>0</v>
      </c>
      <c r="AF93" s="506">
        <v>0</v>
      </c>
      <c r="AG93" s="506">
        <v>0</v>
      </c>
    </row>
    <row r="94" ht="14.25" customHeight="1" spans="1:33" x14ac:dyDescent="0.25" outlineLevel="1" collapsed="1">
      <c r="C94" s="504" t="s">
        <v>473</v>
      </c>
      <c r="D94" s="8"/>
      <c r="E94" s="8"/>
      <c r="F94" s="497">
        <v>0</v>
      </c>
      <c r="G94" s="497">
        <v>0</v>
      </c>
      <c r="H94" s="497">
        <v>0</v>
      </c>
      <c r="I94" s="497">
        <v>0</v>
      </c>
      <c r="J94" s="498">
        <f t="shared" si="89"/>
        <v>0</v>
      </c>
      <c r="K94" s="497">
        <v>0</v>
      </c>
      <c r="L94" s="497">
        <v>0</v>
      </c>
      <c r="M94" s="497">
        <v>0</v>
      </c>
      <c r="N94" s="497">
        <v>0</v>
      </c>
      <c r="O94" s="498">
        <f t="shared" si="90"/>
        <v>0</v>
      </c>
      <c r="P94" s="497">
        <v>0</v>
      </c>
      <c r="Q94" s="497">
        <v>0</v>
      </c>
      <c r="R94" s="497">
        <v>0</v>
      </c>
      <c r="S94" s="497">
        <v>0</v>
      </c>
      <c r="T94" s="498">
        <f t="shared" si="91"/>
        <v>0</v>
      </c>
      <c r="U94" s="505">
        <v>0</v>
      </c>
      <c r="V94" s="505">
        <v>0</v>
      </c>
      <c r="W94" s="505">
        <v>0</v>
      </c>
      <c r="X94" s="505">
        <v>0</v>
      </c>
      <c r="Y94" s="498">
        <f t="shared" si="92"/>
        <v>0</v>
      </c>
      <c r="Z94" s="505">
        <v>0</v>
      </c>
      <c r="AA94" s="505">
        <v>0</v>
      </c>
      <c r="AB94" s="505">
        <v>0</v>
      </c>
      <c r="AC94" s="505">
        <v>0</v>
      </c>
      <c r="AD94" s="498">
        <f t="shared" si="93"/>
        <v>0</v>
      </c>
      <c r="AE94" s="506">
        <v>0</v>
      </c>
      <c r="AF94" s="506">
        <v>0</v>
      </c>
      <c r="AG94" s="506">
        <v>0</v>
      </c>
    </row>
    <row r="95" ht="14.25" customHeight="1" spans="1:33" x14ac:dyDescent="0.25" outlineLevel="1" collapsed="1">
      <c r="C95" s="8"/>
      <c r="D95" s="8"/>
      <c r="E95" s="8"/>
      <c r="F95" s="529"/>
      <c r="G95" s="529"/>
      <c r="H95" s="529"/>
      <c r="I95" s="529"/>
      <c r="J95" s="523"/>
      <c r="K95" s="529"/>
      <c r="L95" s="529"/>
      <c r="M95" s="529"/>
      <c r="N95" s="529"/>
      <c r="O95" s="523"/>
      <c r="P95" s="529"/>
      <c r="Q95" s="529"/>
      <c r="R95" s="529"/>
      <c r="S95" s="529"/>
      <c r="T95" s="523"/>
      <c r="U95" s="530"/>
      <c r="V95" s="530"/>
      <c r="W95" s="530"/>
      <c r="X95" s="530"/>
      <c r="Y95" s="523"/>
      <c r="Z95" s="530"/>
      <c r="AA95" s="530"/>
      <c r="AB95" s="530"/>
      <c r="AC95" s="530"/>
      <c r="AD95" s="523"/>
      <c r="AE95" s="531"/>
      <c r="AF95" s="531"/>
      <c r="AG95" s="531"/>
    </row>
    <row r="96" ht="14.25" customHeight="1" spans="1:33" x14ac:dyDescent="0.25" outlineLevel="1" collapsed="1">
      <c r="C96" s="8" t="s">
        <v>448</v>
      </c>
      <c r="D96" s="8"/>
      <c r="E96" s="8"/>
      <c r="F96" s="502"/>
      <c r="G96" s="502"/>
      <c r="H96" s="502"/>
      <c r="I96" s="502"/>
      <c r="J96" s="160"/>
      <c r="K96" s="502"/>
      <c r="L96" s="502"/>
      <c r="M96" s="502"/>
      <c r="N96" s="502"/>
      <c r="O96" s="160"/>
      <c r="P96" s="502"/>
      <c r="Q96" s="502"/>
      <c r="R96" s="502"/>
      <c r="S96" s="502"/>
      <c r="T96" s="160"/>
      <c r="U96" s="503"/>
      <c r="V96" s="503"/>
      <c r="W96" s="503"/>
      <c r="X96" s="503"/>
      <c r="Y96" s="160"/>
      <c r="Z96" s="503"/>
      <c r="AA96" s="503"/>
      <c r="AB96" s="503"/>
      <c r="AC96" s="503"/>
      <c r="AD96" s="160"/>
      <c r="AE96" s="507"/>
      <c r="AF96" s="507"/>
      <c r="AG96" s="507"/>
    </row>
    <row r="97" ht="14.25" customHeight="1" spans="1:33" x14ac:dyDescent="0.25" outlineLevel="1" collapsed="1">
      <c r="C97" s="130" t="str">
        <f>C$90</f>
        <v>North America</v>
      </c>
      <c r="D97" s="8"/>
      <c r="E97" s="8"/>
      <c r="F97" s="394" t="str">
        <f t="shared" ref="F97:I101" si="94">IFERROR(F90/F$89,"N/A")</f>
        <v>N/A</v>
      </c>
      <c r="G97" s="394" t="str">
        <f t="shared" si="94"/>
        <v>N/A</v>
      </c>
      <c r="H97" s="394" t="str">
        <f t="shared" si="94"/>
        <v>N/A</v>
      </c>
      <c r="I97" s="394" t="str">
        <f t="shared" si="94"/>
        <v>N/A</v>
      </c>
      <c r="J97" s="160" t="str">
        <f t="shared" ref="J97:AG97" si="95">IFERROR(J90/J$89,"N/A")</f>
        <v>N/A</v>
      </c>
      <c r="K97" s="394" t="str">
        <f t="shared" ref="K97:N101" si="96">IFERROR(K90/K$89,"N/A")</f>
        <v>N/A</v>
      </c>
      <c r="L97" s="394" t="str">
        <f t="shared" si="96"/>
        <v>N/A</v>
      </c>
      <c r="M97" s="394" t="str">
        <f t="shared" si="96"/>
        <v>N/A</v>
      </c>
      <c r="N97" s="394" t="str">
        <f t="shared" si="96"/>
        <v>N/A</v>
      </c>
      <c r="O97" s="395" t="str">
        <f t="shared" si="95"/>
        <v>N/A</v>
      </c>
      <c r="P97" s="394" t="str">
        <f t="shared" ref="P97:S101" si="97">IFERROR(P90/P$89,"N/A")</f>
        <v>N/A</v>
      </c>
      <c r="Q97" s="394" t="str">
        <f t="shared" si="97"/>
        <v>N/A</v>
      </c>
      <c r="R97" s="394" t="str">
        <f t="shared" si="97"/>
        <v>N/A</v>
      </c>
      <c r="S97" s="394" t="str">
        <f t="shared" si="97"/>
        <v>N/A</v>
      </c>
      <c r="T97" s="395" t="str">
        <f t="shared" si="95"/>
        <v>N/A</v>
      </c>
      <c r="U97" s="396" t="str">
        <f t="shared" ref="U97:W101" si="98">IFERROR(U90/U$89,"N/A")</f>
        <v>N/A</v>
      </c>
      <c r="V97" s="396" t="str">
        <f t="shared" si="98"/>
        <v>N/A</v>
      </c>
      <c r="W97" s="396" t="str">
        <f t="shared" si="98"/>
        <v>N/A</v>
      </c>
      <c r="X97" s="396" t="s">
        <v>457</v>
      </c>
      <c r="Y97" s="395" t="str">
        <f t="shared" si="95"/>
        <v>N/A</v>
      </c>
      <c r="Z97" s="396" t="str">
        <f t="shared" si="95"/>
        <v>N/A</v>
      </c>
      <c r="AA97" s="396" t="str">
        <f t="shared" si="95"/>
        <v>N/A</v>
      </c>
      <c r="AB97" s="396" t="str">
        <f t="shared" si="95"/>
        <v>N/A</v>
      </c>
      <c r="AC97" s="396" t="str">
        <f t="shared" si="95"/>
        <v>N/A</v>
      </c>
      <c r="AD97" s="395" t="str">
        <f t="shared" si="95"/>
        <v>N/A</v>
      </c>
      <c r="AE97" s="395" t="str">
        <f t="shared" si="95"/>
        <v>N/A</v>
      </c>
      <c r="AF97" s="395" t="str">
        <f t="shared" si="95"/>
        <v>N/A</v>
      </c>
      <c r="AG97" s="395" t="str">
        <f t="shared" si="95"/>
        <v>N/A</v>
      </c>
    </row>
    <row r="98" ht="14.25" customHeight="1" spans="1:33" x14ac:dyDescent="0.25" outlineLevel="1" collapsed="1">
      <c r="C98" s="130" t="str">
        <f>C$91</f>
        <v>Europe</v>
      </c>
      <c r="D98" s="8"/>
      <c r="E98" s="8"/>
      <c r="F98" s="394" t="str">
        <f t="shared" si="94"/>
        <v>N/A</v>
      </c>
      <c r="G98" s="394" t="str">
        <f t="shared" si="94"/>
        <v>N/A</v>
      </c>
      <c r="H98" s="394" t="str">
        <f t="shared" si="94"/>
        <v>N/A</v>
      </c>
      <c r="I98" s="394" t="str">
        <f t="shared" si="94"/>
        <v>N/A</v>
      </c>
      <c r="J98" s="160" t="str">
        <f t="shared" ref="J98:AG98" si="99">IFERROR(J91/J$89,"N/A")</f>
        <v>N/A</v>
      </c>
      <c r="K98" s="394" t="str">
        <f t="shared" si="96"/>
        <v>N/A</v>
      </c>
      <c r="L98" s="394" t="str">
        <f t="shared" si="96"/>
        <v>N/A</v>
      </c>
      <c r="M98" s="394" t="str">
        <f t="shared" si="96"/>
        <v>N/A</v>
      </c>
      <c r="N98" s="394" t="str">
        <f t="shared" si="96"/>
        <v>N/A</v>
      </c>
      <c r="O98" s="395" t="str">
        <f t="shared" si="99"/>
        <v>N/A</v>
      </c>
      <c r="P98" s="394" t="str">
        <f t="shared" ref="P98:Q101" si="100">IFERROR(P91/P$89,"N/A")</f>
        <v>N/A</v>
      </c>
      <c r="Q98" s="394" t="str">
        <f t="shared" si="100"/>
        <v>N/A</v>
      </c>
      <c r="R98" s="394" t="str">
        <f t="shared" si="97"/>
        <v>N/A</v>
      </c>
      <c r="S98" s="394" t="str">
        <f t="shared" si="97"/>
        <v>N/A</v>
      </c>
      <c r="T98" s="395" t="str">
        <f t="shared" si="99"/>
        <v>N/A</v>
      </c>
      <c r="U98" s="396" t="str">
        <f t="shared" si="98"/>
        <v>N/A</v>
      </c>
      <c r="V98" s="396" t="str">
        <f t="shared" si="98"/>
        <v>N/A</v>
      </c>
      <c r="W98" s="396" t="str">
        <f t="shared" si="98"/>
        <v>N/A</v>
      </c>
      <c r="X98" s="396" t="s">
        <v>457</v>
      </c>
      <c r="Y98" s="395" t="str">
        <f t="shared" si="99"/>
        <v>N/A</v>
      </c>
      <c r="Z98" s="396" t="str">
        <f t="shared" si="99"/>
        <v>N/A</v>
      </c>
      <c r="AA98" s="396" t="str">
        <f t="shared" si="99"/>
        <v>N/A</v>
      </c>
      <c r="AB98" s="396" t="str">
        <f t="shared" si="99"/>
        <v>N/A</v>
      </c>
      <c r="AC98" s="396" t="str">
        <f t="shared" si="99"/>
        <v>N/A</v>
      </c>
      <c r="AD98" s="395" t="str">
        <f t="shared" si="99"/>
        <v>N/A</v>
      </c>
      <c r="AE98" s="395" t="str">
        <f t="shared" si="99"/>
        <v>N/A</v>
      </c>
      <c r="AF98" s="395" t="str">
        <f t="shared" si="99"/>
        <v>N/A</v>
      </c>
      <c r="AG98" s="395" t="str">
        <f t="shared" si="99"/>
        <v>N/A</v>
      </c>
    </row>
    <row r="99" ht="14.25" customHeight="1" spans="1:33" x14ac:dyDescent="0.25" outlineLevel="1" collapsed="1">
      <c r="C99" s="130" t="str">
        <f>C$92</f>
        <v>South America</v>
      </c>
      <c r="D99" s="8"/>
      <c r="E99" s="8"/>
      <c r="F99" s="394" t="str">
        <f t="shared" si="94"/>
        <v>N/A</v>
      </c>
      <c r="G99" s="394" t="str">
        <f t="shared" si="94"/>
        <v>N/A</v>
      </c>
      <c r="H99" s="394" t="str">
        <f t="shared" si="94"/>
        <v>N/A</v>
      </c>
      <c r="I99" s="394" t="str">
        <f t="shared" si="94"/>
        <v>N/A</v>
      </c>
      <c r="J99" s="160" t="str">
        <f t="shared" ref="J99:AG99" si="101">IFERROR(J92/J$89,"N/A")</f>
        <v>N/A</v>
      </c>
      <c r="K99" s="394" t="str">
        <f t="shared" si="96"/>
        <v>N/A</v>
      </c>
      <c r="L99" s="394" t="str">
        <f t="shared" si="96"/>
        <v>N/A</v>
      </c>
      <c r="M99" s="394" t="str">
        <f t="shared" si="96"/>
        <v>N/A</v>
      </c>
      <c r="N99" s="394" t="str">
        <f t="shared" si="96"/>
        <v>N/A</v>
      </c>
      <c r="O99" s="395" t="str">
        <f t="shared" si="101"/>
        <v>N/A</v>
      </c>
      <c r="P99" s="394" t="str">
        <f t="shared" si="100"/>
        <v>N/A</v>
      </c>
      <c r="Q99" s="394" t="str">
        <f t="shared" si="100"/>
        <v>N/A</v>
      </c>
      <c r="R99" s="394" t="str">
        <f t="shared" si="97"/>
        <v>N/A</v>
      </c>
      <c r="S99" s="394" t="str">
        <f t="shared" si="97"/>
        <v>N/A</v>
      </c>
      <c r="T99" s="395" t="str">
        <f t="shared" si="101"/>
        <v>N/A</v>
      </c>
      <c r="U99" s="396" t="str">
        <f t="shared" si="98"/>
        <v>N/A</v>
      </c>
      <c r="V99" s="396" t="str">
        <f t="shared" si="98"/>
        <v>N/A</v>
      </c>
      <c r="W99" s="396" t="str">
        <f t="shared" si="98"/>
        <v>N/A</v>
      </c>
      <c r="X99" s="396" t="s">
        <v>457</v>
      </c>
      <c r="Y99" s="395" t="str">
        <f t="shared" si="101"/>
        <v>N/A</v>
      </c>
      <c r="Z99" s="396" t="str">
        <f t="shared" si="101"/>
        <v>N/A</v>
      </c>
      <c r="AA99" s="396" t="str">
        <f t="shared" si="101"/>
        <v>N/A</v>
      </c>
      <c r="AB99" s="396" t="str">
        <f t="shared" si="101"/>
        <v>N/A</v>
      </c>
      <c r="AC99" s="396" t="str">
        <f t="shared" si="101"/>
        <v>N/A</v>
      </c>
      <c r="AD99" s="395" t="str">
        <f t="shared" si="101"/>
        <v>N/A</v>
      </c>
      <c r="AE99" s="395" t="str">
        <f t="shared" si="101"/>
        <v>N/A</v>
      </c>
      <c r="AF99" s="395" t="str">
        <f t="shared" si="101"/>
        <v>N/A</v>
      </c>
      <c r="AG99" s="395" t="str">
        <f t="shared" si="101"/>
        <v>N/A</v>
      </c>
    </row>
    <row r="100" ht="14.25" customHeight="1" spans="1:33" x14ac:dyDescent="0.25" outlineLevel="1" collapsed="1">
      <c r="C100" s="130" t="str">
        <f>C$93</f>
        <v>Middle East &amp; Africa</v>
      </c>
      <c r="D100" s="8"/>
      <c r="E100" s="8"/>
      <c r="F100" s="394" t="str">
        <f t="shared" si="94"/>
        <v>N/A</v>
      </c>
      <c r="G100" s="394" t="str">
        <f t="shared" si="94"/>
        <v>N/A</v>
      </c>
      <c r="H100" s="394" t="str">
        <f t="shared" si="94"/>
        <v>N/A</v>
      </c>
      <c r="I100" s="394" t="str">
        <f t="shared" si="94"/>
        <v>N/A</v>
      </c>
      <c r="J100" s="160" t="str">
        <f t="shared" ref="J100:AG100" si="102">IFERROR(J93/J$89,"N/A")</f>
        <v>N/A</v>
      </c>
      <c r="K100" s="394" t="str">
        <f t="shared" si="96"/>
        <v>N/A</v>
      </c>
      <c r="L100" s="394" t="str">
        <f t="shared" si="96"/>
        <v>N/A</v>
      </c>
      <c r="M100" s="394" t="str">
        <f t="shared" si="96"/>
        <v>N/A</v>
      </c>
      <c r="N100" s="394" t="str">
        <f t="shared" si="96"/>
        <v>N/A</v>
      </c>
      <c r="O100" s="395" t="str">
        <f t="shared" si="102"/>
        <v>N/A</v>
      </c>
      <c r="P100" s="394" t="str">
        <f t="shared" si="100"/>
        <v>N/A</v>
      </c>
      <c r="Q100" s="394" t="str">
        <f t="shared" si="100"/>
        <v>N/A</v>
      </c>
      <c r="R100" s="394" t="str">
        <f t="shared" si="97"/>
        <v>N/A</v>
      </c>
      <c r="S100" s="394" t="str">
        <f t="shared" si="97"/>
        <v>N/A</v>
      </c>
      <c r="T100" s="395" t="str">
        <f t="shared" si="102"/>
        <v>N/A</v>
      </c>
      <c r="U100" s="396" t="str">
        <f t="shared" si="98"/>
        <v>N/A</v>
      </c>
      <c r="V100" s="396" t="str">
        <f t="shared" si="98"/>
        <v>N/A</v>
      </c>
      <c r="W100" s="396" t="str">
        <f t="shared" si="98"/>
        <v>N/A</v>
      </c>
      <c r="X100" s="396" t="s">
        <v>457</v>
      </c>
      <c r="Y100" s="395" t="str">
        <f t="shared" si="102"/>
        <v>N/A</v>
      </c>
      <c r="Z100" s="396" t="str">
        <f t="shared" si="102"/>
        <v>N/A</v>
      </c>
      <c r="AA100" s="396" t="str">
        <f t="shared" si="102"/>
        <v>N/A</v>
      </c>
      <c r="AB100" s="396" t="str">
        <f t="shared" si="102"/>
        <v>N/A</v>
      </c>
      <c r="AC100" s="396" t="str">
        <f t="shared" si="102"/>
        <v>N/A</v>
      </c>
      <c r="AD100" s="395" t="str">
        <f t="shared" si="102"/>
        <v>N/A</v>
      </c>
      <c r="AE100" s="395" t="str">
        <f t="shared" si="102"/>
        <v>N/A</v>
      </c>
      <c r="AF100" s="395" t="str">
        <f t="shared" si="102"/>
        <v>N/A</v>
      </c>
      <c r="AG100" s="395" t="str">
        <f t="shared" si="102"/>
        <v>N/A</v>
      </c>
    </row>
    <row r="101" ht="14.25" customHeight="1" spans="1:33" x14ac:dyDescent="0.25" outlineLevel="1" collapsed="1">
      <c r="C101" s="130" t="str">
        <f>C$94</f>
        <v>Asia Pacific</v>
      </c>
      <c r="D101" s="8"/>
      <c r="E101" s="8"/>
      <c r="F101" s="394" t="str">
        <f t="shared" si="94"/>
        <v>N/A</v>
      </c>
      <c r="G101" s="394" t="str">
        <f t="shared" si="94"/>
        <v>N/A</v>
      </c>
      <c r="H101" s="394" t="str">
        <f t="shared" si="94"/>
        <v>N/A</v>
      </c>
      <c r="I101" s="394" t="str">
        <f t="shared" si="94"/>
        <v>N/A</v>
      </c>
      <c r="J101" s="160" t="str">
        <f t="shared" ref="J101:AG101" si="103">IFERROR(J94/J$89,"N/A")</f>
        <v>N/A</v>
      </c>
      <c r="K101" s="394" t="str">
        <f t="shared" si="96"/>
        <v>N/A</v>
      </c>
      <c r="L101" s="394" t="str">
        <f t="shared" si="96"/>
        <v>N/A</v>
      </c>
      <c r="M101" s="394" t="str">
        <f t="shared" si="96"/>
        <v>N/A</v>
      </c>
      <c r="N101" s="394" t="str">
        <f t="shared" si="96"/>
        <v>N/A</v>
      </c>
      <c r="O101" s="395" t="str">
        <f t="shared" si="103"/>
        <v>N/A</v>
      </c>
      <c r="P101" s="394" t="str">
        <f t="shared" si="100"/>
        <v>N/A</v>
      </c>
      <c r="Q101" s="394" t="str">
        <f t="shared" si="100"/>
        <v>N/A</v>
      </c>
      <c r="R101" s="394" t="str">
        <f t="shared" si="97"/>
        <v>N/A</v>
      </c>
      <c r="S101" s="394" t="str">
        <f t="shared" si="97"/>
        <v>N/A</v>
      </c>
      <c r="T101" s="395" t="str">
        <f t="shared" si="103"/>
        <v>N/A</v>
      </c>
      <c r="U101" s="396" t="str">
        <f t="shared" si="98"/>
        <v>N/A</v>
      </c>
      <c r="V101" s="396" t="str">
        <f t="shared" si="98"/>
        <v>N/A</v>
      </c>
      <c r="W101" s="396" t="str">
        <f t="shared" si="98"/>
        <v>N/A</v>
      </c>
      <c r="X101" s="396" t="s">
        <v>457</v>
      </c>
      <c r="Y101" s="395" t="str">
        <f t="shared" si="103"/>
        <v>N/A</v>
      </c>
      <c r="Z101" s="396" t="str">
        <f t="shared" si="103"/>
        <v>N/A</v>
      </c>
      <c r="AA101" s="396" t="str">
        <f t="shared" si="103"/>
        <v>N/A</v>
      </c>
      <c r="AB101" s="396" t="str">
        <f t="shared" si="103"/>
        <v>N/A</v>
      </c>
      <c r="AC101" s="396" t="str">
        <f t="shared" si="103"/>
        <v>N/A</v>
      </c>
      <c r="AD101" s="395" t="str">
        <f t="shared" si="103"/>
        <v>N/A</v>
      </c>
      <c r="AE101" s="395" t="str">
        <f t="shared" si="103"/>
        <v>N/A</v>
      </c>
      <c r="AF101" s="395" t="str">
        <f t="shared" si="103"/>
        <v>N/A</v>
      </c>
      <c r="AG101" s="395" t="str">
        <f t="shared" si="103"/>
        <v>N/A</v>
      </c>
    </row>
    <row r="102" ht="14.25" customHeight="1" spans="1:33" x14ac:dyDescent="0.25" outlineLevel="1" collapsed="1">
      <c r="C102" s="8"/>
      <c r="D102" s="8"/>
      <c r="E102" s="8"/>
      <c r="F102" s="502"/>
      <c r="G102" s="502"/>
      <c r="H102" s="502"/>
      <c r="I102" s="502"/>
      <c r="J102" s="160"/>
      <c r="K102" s="502"/>
      <c r="L102" s="502"/>
      <c r="M102" s="502"/>
      <c r="N102" s="502"/>
      <c r="O102" s="160"/>
      <c r="P102" s="502"/>
      <c r="Q102" s="502"/>
      <c r="R102" s="502"/>
      <c r="S102" s="502"/>
      <c r="T102" s="160"/>
      <c r="U102" s="503"/>
      <c r="V102" s="503"/>
      <c r="W102" s="503"/>
      <c r="X102" s="503"/>
      <c r="Y102" s="160"/>
      <c r="Z102" s="503"/>
      <c r="AA102" s="503"/>
      <c r="AB102" s="503"/>
      <c r="AC102" s="503"/>
      <c r="AD102" s="160"/>
      <c r="AE102" s="507"/>
      <c r="AF102" s="507"/>
      <c r="AG102" s="507"/>
    </row>
    <row r="103" ht="14.25" customHeight="1" spans="1:33" x14ac:dyDescent="0.25" outlineLevel="1" collapsed="1">
      <c r="C103" s="8" t="str">
        <f>'Segment Analysis'!C10</f>
        <v>Landfill Revenue</v>
      </c>
      <c r="D103" s="8"/>
      <c r="E103" s="8"/>
      <c r="F103" s="312"/>
      <c r="G103" s="312"/>
      <c r="H103" s="312"/>
      <c r="I103" s="312"/>
      <c r="J103" s="160"/>
      <c r="K103" s="312"/>
      <c r="L103" s="312"/>
      <c r="M103" s="312"/>
      <c r="N103" s="312"/>
      <c r="O103" s="160"/>
      <c r="P103" s="312"/>
      <c r="Q103" s="312"/>
      <c r="R103" s="312"/>
      <c r="S103" s="312"/>
      <c r="T103" s="160"/>
      <c r="U103" s="315"/>
      <c r="V103" s="315"/>
      <c r="W103" s="315"/>
      <c r="X103" s="315"/>
      <c r="Y103" s="160"/>
      <c r="Z103" s="315"/>
      <c r="AA103" s="315"/>
      <c r="AB103" s="315"/>
      <c r="AC103" s="315"/>
      <c r="AD103" s="160"/>
      <c r="AE103" s="160"/>
      <c r="AF103" s="160"/>
      <c r="AG103" s="160"/>
    </row>
    <row r="104" ht="14.25" customHeight="1" spans="1:33" x14ac:dyDescent="0.25" outlineLevel="1" collapsed="1">
      <c r="C104" s="130" t="str">
        <f>C$90</f>
        <v>North America</v>
      </c>
      <c r="D104" s="8"/>
      <c r="E104" s="8"/>
      <c r="F104" s="497">
        <v>0</v>
      </c>
      <c r="G104" s="497">
        <v>0</v>
      </c>
      <c r="H104" s="497">
        <v>0</v>
      </c>
      <c r="I104" s="497">
        <v>0</v>
      </c>
      <c r="J104" s="498">
        <f>SUM(F104:I104)</f>
        <v>0</v>
      </c>
      <c r="K104" s="497">
        <v>0</v>
      </c>
      <c r="L104" s="497">
        <v>0</v>
      </c>
      <c r="M104" s="497">
        <v>0</v>
      </c>
      <c r="N104" s="497">
        <v>0</v>
      </c>
      <c r="O104" s="498">
        <f>SUM(K104:N104)</f>
        <v>0</v>
      </c>
      <c r="P104" s="497">
        <v>0</v>
      </c>
      <c r="Q104" s="497">
        <v>0</v>
      </c>
      <c r="R104" s="497">
        <v>0</v>
      </c>
      <c r="S104" s="497">
        <v>0</v>
      </c>
      <c r="T104" s="498">
        <f>SUM(P104:S104)</f>
        <v>0</v>
      </c>
      <c r="U104" s="505">
        <v>0</v>
      </c>
      <c r="V104" s="505">
        <v>0</v>
      </c>
      <c r="W104" s="505">
        <v>0</v>
      </c>
      <c r="X104" s="505">
        <v>0</v>
      </c>
      <c r="Y104" s="498">
        <f>SUM(U104:X104)</f>
        <v>0</v>
      </c>
      <c r="Z104" s="505">
        <v>0</v>
      </c>
      <c r="AA104" s="505">
        <v>0</v>
      </c>
      <c r="AB104" s="505">
        <v>0</v>
      </c>
      <c r="AC104" s="505">
        <v>0</v>
      </c>
      <c r="AD104" s="498">
        <f>SUM(Z104:AC104)</f>
        <v>0</v>
      </c>
      <c r="AE104" s="506">
        <v>0</v>
      </c>
      <c r="AF104" s="506">
        <v>0</v>
      </c>
      <c r="AG104" s="506">
        <v>0</v>
      </c>
    </row>
    <row r="105" ht="14.25" customHeight="1" spans="1:33" x14ac:dyDescent="0.25" outlineLevel="1" collapsed="1">
      <c r="C105" s="130" t="str">
        <f>C$91</f>
        <v>Europe</v>
      </c>
      <c r="D105" s="8"/>
      <c r="E105" s="8"/>
      <c r="F105" s="497">
        <v>0</v>
      </c>
      <c r="G105" s="497">
        <v>0</v>
      </c>
      <c r="H105" s="497">
        <v>0</v>
      </c>
      <c r="I105" s="497">
        <v>0</v>
      </c>
      <c r="J105" s="498">
        <f>SUM(F105:I105)</f>
        <v>0</v>
      </c>
      <c r="K105" s="497">
        <v>0</v>
      </c>
      <c r="L105" s="497">
        <v>0</v>
      </c>
      <c r="M105" s="497">
        <v>0</v>
      </c>
      <c r="N105" s="497">
        <v>0</v>
      </c>
      <c r="O105" s="498">
        <f>SUM(K105:N105)</f>
        <v>0</v>
      </c>
      <c r="P105" s="497">
        <v>0</v>
      </c>
      <c r="Q105" s="497">
        <v>0</v>
      </c>
      <c r="R105" s="497">
        <v>0</v>
      </c>
      <c r="S105" s="497">
        <v>0</v>
      </c>
      <c r="T105" s="498">
        <f>SUM(P105:S105)</f>
        <v>0</v>
      </c>
      <c r="U105" s="505">
        <v>0</v>
      </c>
      <c r="V105" s="505">
        <v>0</v>
      </c>
      <c r="W105" s="505">
        <v>0</v>
      </c>
      <c r="X105" s="505">
        <v>0</v>
      </c>
      <c r="Y105" s="498">
        <f>SUM(U105:X105)</f>
        <v>0</v>
      </c>
      <c r="Z105" s="505">
        <v>0</v>
      </c>
      <c r="AA105" s="505">
        <v>0</v>
      </c>
      <c r="AB105" s="505">
        <v>0</v>
      </c>
      <c r="AC105" s="505">
        <v>0</v>
      </c>
      <c r="AD105" s="498">
        <f>SUM(Z105:AC105)</f>
        <v>0</v>
      </c>
      <c r="AE105" s="506">
        <v>0</v>
      </c>
      <c r="AF105" s="506">
        <v>0</v>
      </c>
      <c r="AG105" s="506">
        <v>0</v>
      </c>
    </row>
    <row r="106" ht="14.25" customHeight="1" spans="1:33" x14ac:dyDescent="0.25" outlineLevel="1" collapsed="1">
      <c r="C106" s="130" t="str">
        <f>C$92</f>
        <v>South America</v>
      </c>
      <c r="D106" s="8"/>
      <c r="E106" s="8"/>
      <c r="F106" s="497">
        <v>0</v>
      </c>
      <c r="G106" s="497">
        <v>0</v>
      </c>
      <c r="H106" s="497">
        <v>0</v>
      </c>
      <c r="I106" s="497">
        <v>0</v>
      </c>
      <c r="J106" s="498">
        <f>SUM(F106:I106)</f>
        <v>0</v>
      </c>
      <c r="K106" s="497">
        <v>0</v>
      </c>
      <c r="L106" s="497">
        <v>0</v>
      </c>
      <c r="M106" s="497">
        <v>0</v>
      </c>
      <c r="N106" s="497">
        <v>0</v>
      </c>
      <c r="O106" s="498">
        <f>SUM(K106:N106)</f>
        <v>0</v>
      </c>
      <c r="P106" s="497">
        <v>0</v>
      </c>
      <c r="Q106" s="497">
        <v>0</v>
      </c>
      <c r="R106" s="497">
        <v>0</v>
      </c>
      <c r="S106" s="497">
        <v>0</v>
      </c>
      <c r="T106" s="498">
        <f>SUM(P106:S106)</f>
        <v>0</v>
      </c>
      <c r="U106" s="505">
        <v>0</v>
      </c>
      <c r="V106" s="505">
        <v>0</v>
      </c>
      <c r="W106" s="505">
        <v>0</v>
      </c>
      <c r="X106" s="505">
        <v>0</v>
      </c>
      <c r="Y106" s="498">
        <f>SUM(U106:X106)</f>
        <v>0</v>
      </c>
      <c r="Z106" s="505">
        <v>0</v>
      </c>
      <c r="AA106" s="505">
        <v>0</v>
      </c>
      <c r="AB106" s="505">
        <v>0</v>
      </c>
      <c r="AC106" s="505">
        <v>0</v>
      </c>
      <c r="AD106" s="498">
        <f>SUM(Z106:AC106)</f>
        <v>0</v>
      </c>
      <c r="AE106" s="506">
        <v>0</v>
      </c>
      <c r="AF106" s="506">
        <v>0</v>
      </c>
      <c r="AG106" s="506">
        <v>0</v>
      </c>
    </row>
    <row r="107" ht="14.25" customHeight="1" spans="1:33" x14ac:dyDescent="0.25" outlineLevel="1" collapsed="1">
      <c r="C107" s="130" t="str">
        <f>C$93</f>
        <v>Middle East &amp; Africa</v>
      </c>
      <c r="D107" s="8"/>
      <c r="E107" s="8"/>
      <c r="F107" s="497">
        <v>0</v>
      </c>
      <c r="G107" s="497">
        <v>0</v>
      </c>
      <c r="H107" s="497">
        <v>0</v>
      </c>
      <c r="I107" s="497">
        <v>0</v>
      </c>
      <c r="J107" s="498">
        <f>SUM(F107:I107)</f>
        <v>0</v>
      </c>
      <c r="K107" s="497">
        <v>0</v>
      </c>
      <c r="L107" s="497">
        <v>0</v>
      </c>
      <c r="M107" s="497">
        <v>0</v>
      </c>
      <c r="N107" s="497">
        <v>0</v>
      </c>
      <c r="O107" s="498">
        <f>SUM(K107:N107)</f>
        <v>0</v>
      </c>
      <c r="P107" s="497">
        <v>0</v>
      </c>
      <c r="Q107" s="497">
        <v>0</v>
      </c>
      <c r="R107" s="497">
        <v>0</v>
      </c>
      <c r="S107" s="497">
        <v>0</v>
      </c>
      <c r="T107" s="498">
        <f>SUM(P107:S107)</f>
        <v>0</v>
      </c>
      <c r="U107" s="505">
        <v>0</v>
      </c>
      <c r="V107" s="505">
        <v>0</v>
      </c>
      <c r="W107" s="505">
        <v>0</v>
      </c>
      <c r="X107" s="505">
        <v>0</v>
      </c>
      <c r="Y107" s="498">
        <f>SUM(U107:X107)</f>
        <v>0</v>
      </c>
      <c r="Z107" s="505">
        <v>0</v>
      </c>
      <c r="AA107" s="505">
        <v>0</v>
      </c>
      <c r="AB107" s="505">
        <v>0</v>
      </c>
      <c r="AC107" s="505">
        <v>0</v>
      </c>
      <c r="AD107" s="498">
        <f>SUM(Z107:AC107)</f>
        <v>0</v>
      </c>
      <c r="AE107" s="506">
        <v>0</v>
      </c>
      <c r="AF107" s="506">
        <v>0</v>
      </c>
      <c r="AG107" s="506">
        <v>0</v>
      </c>
    </row>
    <row r="108" ht="14.25" customHeight="1" spans="1:33" x14ac:dyDescent="0.25" outlineLevel="1" collapsed="1">
      <c r="C108" s="130" t="str">
        <f>C$94</f>
        <v>Asia Pacific</v>
      </c>
      <c r="D108" s="8"/>
      <c r="E108" s="8"/>
      <c r="F108" s="497">
        <v>0</v>
      </c>
      <c r="G108" s="497">
        <v>0</v>
      </c>
      <c r="H108" s="497">
        <v>0</v>
      </c>
      <c r="I108" s="497">
        <v>0</v>
      </c>
      <c r="J108" s="498">
        <f>SUM(F108:I108)</f>
        <v>0</v>
      </c>
      <c r="K108" s="497">
        <v>0</v>
      </c>
      <c r="L108" s="497">
        <v>0</v>
      </c>
      <c r="M108" s="497">
        <v>0</v>
      </c>
      <c r="N108" s="497">
        <v>0</v>
      </c>
      <c r="O108" s="498">
        <f>SUM(K108:N108)</f>
        <v>0</v>
      </c>
      <c r="P108" s="497">
        <v>0</v>
      </c>
      <c r="Q108" s="497">
        <v>0</v>
      </c>
      <c r="R108" s="497">
        <v>0</v>
      </c>
      <c r="S108" s="497">
        <v>0</v>
      </c>
      <c r="T108" s="498">
        <f>SUM(P108:S108)</f>
        <v>0</v>
      </c>
      <c r="U108" s="505">
        <v>0</v>
      </c>
      <c r="V108" s="505">
        <v>0</v>
      </c>
      <c r="W108" s="505">
        <v>0</v>
      </c>
      <c r="X108" s="505">
        <v>0</v>
      </c>
      <c r="Y108" s="498">
        <f>SUM(U108:X108)</f>
        <v>0</v>
      </c>
      <c r="Z108" s="505">
        <v>0</v>
      </c>
      <c r="AA108" s="505">
        <v>0</v>
      </c>
      <c r="AB108" s="505">
        <v>0</v>
      </c>
      <c r="AC108" s="505">
        <v>0</v>
      </c>
      <c r="AD108" s="498">
        <f>SUM(Z108:AC108)</f>
        <v>0</v>
      </c>
      <c r="AE108" s="506">
        <v>0</v>
      </c>
      <c r="AF108" s="506">
        <v>0</v>
      </c>
      <c r="AG108" s="506">
        <v>0</v>
      </c>
    </row>
    <row r="109" ht="14.25" customHeight="1" spans="1:33" x14ac:dyDescent="0.25" outlineLevel="1" collapsed="1">
      <c r="C109" s="8"/>
      <c r="D109" s="8"/>
      <c r="E109" s="8"/>
      <c r="F109" s="532"/>
      <c r="G109" s="532"/>
      <c r="H109" s="532"/>
      <c r="I109" s="532"/>
      <c r="J109" s="160"/>
      <c r="K109" s="532"/>
      <c r="L109" s="532"/>
      <c r="M109" s="532"/>
      <c r="N109" s="532"/>
      <c r="O109" s="160"/>
      <c r="P109" s="532"/>
      <c r="Q109" s="532"/>
      <c r="R109" s="532"/>
      <c r="S109" s="532"/>
      <c r="T109" s="160"/>
      <c r="U109" s="533"/>
      <c r="V109" s="533"/>
      <c r="W109" s="533"/>
      <c r="X109" s="533"/>
      <c r="Y109" s="160"/>
      <c r="Z109" s="533"/>
      <c r="AA109" s="533"/>
      <c r="AB109" s="533"/>
      <c r="AC109" s="533"/>
      <c r="AD109" s="160"/>
      <c r="AE109" s="534"/>
      <c r="AF109" s="534"/>
      <c r="AG109" s="534"/>
    </row>
    <row r="110" ht="14.25" customHeight="1" spans="1:33" x14ac:dyDescent="0.25" outlineLevel="1" collapsed="1">
      <c r="C110" s="8" t="str">
        <f>'Segment Analysis'!C9</f>
        <v>Collection Revenue</v>
      </c>
      <c r="D110" s="8"/>
      <c r="E110" s="8"/>
      <c r="F110" s="532"/>
      <c r="G110" s="532"/>
      <c r="H110" s="532"/>
      <c r="I110" s="532"/>
      <c r="J110" s="160"/>
      <c r="K110" s="532"/>
      <c r="L110" s="532"/>
      <c r="M110" s="532"/>
      <c r="N110" s="532"/>
      <c r="O110" s="160"/>
      <c r="P110" s="532"/>
      <c r="Q110" s="532"/>
      <c r="R110" s="532"/>
      <c r="S110" s="532"/>
      <c r="T110" s="160"/>
      <c r="U110" s="533"/>
      <c r="V110" s="533"/>
      <c r="W110" s="533"/>
      <c r="X110" s="533"/>
      <c r="Y110" s="160"/>
      <c r="Z110" s="533"/>
      <c r="AA110" s="533"/>
      <c r="AB110" s="533"/>
      <c r="AC110" s="533"/>
      <c r="AD110" s="160"/>
      <c r="AE110" s="534"/>
      <c r="AF110" s="534"/>
      <c r="AG110" s="534"/>
    </row>
    <row r="111" ht="14.25" customHeight="1" spans="1:33" x14ac:dyDescent="0.25" outlineLevel="1" collapsed="1">
      <c r="C111" s="130" t="str">
        <f>C$90</f>
        <v>North America</v>
      </c>
      <c r="D111" s="8"/>
      <c r="E111" s="8"/>
      <c r="F111" s="497">
        <v>0</v>
      </c>
      <c r="G111" s="497">
        <v>0</v>
      </c>
      <c r="H111" s="497">
        <v>0</v>
      </c>
      <c r="I111" s="497">
        <v>0</v>
      </c>
      <c r="J111" s="498">
        <f>SUM(F111:I111)</f>
        <v>0</v>
      </c>
      <c r="K111" s="497">
        <v>0</v>
      </c>
      <c r="L111" s="497">
        <v>0</v>
      </c>
      <c r="M111" s="497">
        <v>0</v>
      </c>
      <c r="N111" s="497">
        <v>0</v>
      </c>
      <c r="O111" s="498">
        <f>SUM(K111:N111)</f>
        <v>0</v>
      </c>
      <c r="P111" s="497">
        <v>0</v>
      </c>
      <c r="Q111" s="497">
        <v>0</v>
      </c>
      <c r="R111" s="497">
        <v>0</v>
      </c>
      <c r="S111" s="497">
        <v>0</v>
      </c>
      <c r="T111" s="498">
        <f>SUM(P111:S111)</f>
        <v>0</v>
      </c>
      <c r="U111" s="505">
        <v>0</v>
      </c>
      <c r="V111" s="505">
        <v>0</v>
      </c>
      <c r="W111" s="505">
        <v>0</v>
      </c>
      <c r="X111" s="505">
        <v>0</v>
      </c>
      <c r="Y111" s="498">
        <f>SUM(U111:X111)</f>
        <v>0</v>
      </c>
      <c r="Z111" s="505">
        <v>0</v>
      </c>
      <c r="AA111" s="505">
        <v>0</v>
      </c>
      <c r="AB111" s="505">
        <v>0</v>
      </c>
      <c r="AC111" s="505">
        <v>0</v>
      </c>
      <c r="AD111" s="498">
        <f>SUM(Z111:AC111)</f>
        <v>0</v>
      </c>
      <c r="AE111" s="506">
        <v>0</v>
      </c>
      <c r="AF111" s="506">
        <v>0</v>
      </c>
      <c r="AG111" s="506">
        <v>0</v>
      </c>
    </row>
    <row r="112" ht="14.25" customHeight="1" spans="1:33" x14ac:dyDescent="0.25" outlineLevel="1" collapsed="1">
      <c r="C112" s="130" t="str">
        <f>C$91</f>
        <v>Europe</v>
      </c>
      <c r="D112" s="8"/>
      <c r="E112" s="8"/>
      <c r="F112" s="497">
        <v>0</v>
      </c>
      <c r="G112" s="497">
        <v>0</v>
      </c>
      <c r="H112" s="497">
        <v>0</v>
      </c>
      <c r="I112" s="497">
        <v>0</v>
      </c>
      <c r="J112" s="498">
        <f>SUM(F112:I112)</f>
        <v>0</v>
      </c>
      <c r="K112" s="497">
        <v>0</v>
      </c>
      <c r="L112" s="497">
        <v>0</v>
      </c>
      <c r="M112" s="497">
        <v>0</v>
      </c>
      <c r="N112" s="497">
        <v>0</v>
      </c>
      <c r="O112" s="498">
        <f>SUM(K112:N112)</f>
        <v>0</v>
      </c>
      <c r="P112" s="497">
        <v>0</v>
      </c>
      <c r="Q112" s="497">
        <v>0</v>
      </c>
      <c r="R112" s="497">
        <v>0</v>
      </c>
      <c r="S112" s="497">
        <v>0</v>
      </c>
      <c r="T112" s="498">
        <f>SUM(P112:S112)</f>
        <v>0</v>
      </c>
      <c r="U112" s="505">
        <v>0</v>
      </c>
      <c r="V112" s="505">
        <v>0</v>
      </c>
      <c r="W112" s="505">
        <v>0</v>
      </c>
      <c r="X112" s="505">
        <v>0</v>
      </c>
      <c r="Y112" s="498">
        <f>SUM(U112:X112)</f>
        <v>0</v>
      </c>
      <c r="Z112" s="505">
        <v>0</v>
      </c>
      <c r="AA112" s="505">
        <v>0</v>
      </c>
      <c r="AB112" s="505">
        <v>0</v>
      </c>
      <c r="AC112" s="505">
        <v>0</v>
      </c>
      <c r="AD112" s="498">
        <f>SUM(Z112:AC112)</f>
        <v>0</v>
      </c>
      <c r="AE112" s="506">
        <v>0</v>
      </c>
      <c r="AF112" s="506">
        <v>0</v>
      </c>
      <c r="AG112" s="506">
        <v>0</v>
      </c>
    </row>
    <row r="113" ht="14.25" customHeight="1" spans="1:33" x14ac:dyDescent="0.25" outlineLevel="1" collapsed="1">
      <c r="C113" s="130" t="str">
        <f>C$92</f>
        <v>South America</v>
      </c>
      <c r="D113" s="8"/>
      <c r="E113" s="8"/>
      <c r="F113" s="497">
        <v>0</v>
      </c>
      <c r="G113" s="497">
        <v>0</v>
      </c>
      <c r="H113" s="497">
        <v>0</v>
      </c>
      <c r="I113" s="497">
        <v>0</v>
      </c>
      <c r="J113" s="498">
        <f>SUM(F113:I113)</f>
        <v>0</v>
      </c>
      <c r="K113" s="497">
        <v>0</v>
      </c>
      <c r="L113" s="497">
        <v>0</v>
      </c>
      <c r="M113" s="497">
        <v>0</v>
      </c>
      <c r="N113" s="497">
        <v>0</v>
      </c>
      <c r="O113" s="498">
        <f>SUM(K113:N113)</f>
        <v>0</v>
      </c>
      <c r="P113" s="497">
        <v>0</v>
      </c>
      <c r="Q113" s="497">
        <v>0</v>
      </c>
      <c r="R113" s="497">
        <v>0</v>
      </c>
      <c r="S113" s="497">
        <v>0</v>
      </c>
      <c r="T113" s="498">
        <f>SUM(P113:S113)</f>
        <v>0</v>
      </c>
      <c r="U113" s="505">
        <v>0</v>
      </c>
      <c r="V113" s="505">
        <v>0</v>
      </c>
      <c r="W113" s="505">
        <v>0</v>
      </c>
      <c r="X113" s="505">
        <v>0</v>
      </c>
      <c r="Y113" s="498">
        <f>SUM(U113:X113)</f>
        <v>0</v>
      </c>
      <c r="Z113" s="505">
        <v>0</v>
      </c>
      <c r="AA113" s="505">
        <v>0</v>
      </c>
      <c r="AB113" s="505">
        <v>0</v>
      </c>
      <c r="AC113" s="505">
        <v>0</v>
      </c>
      <c r="AD113" s="498">
        <f>SUM(Z113:AC113)</f>
        <v>0</v>
      </c>
      <c r="AE113" s="506">
        <v>0</v>
      </c>
      <c r="AF113" s="506">
        <v>0</v>
      </c>
      <c r="AG113" s="506">
        <v>0</v>
      </c>
    </row>
    <row r="114" ht="14.25" customHeight="1" spans="1:33" x14ac:dyDescent="0.25" outlineLevel="1" collapsed="1">
      <c r="C114" s="130" t="str">
        <f>C$93</f>
        <v>Middle East &amp; Africa</v>
      </c>
      <c r="D114" s="8"/>
      <c r="E114" s="8"/>
      <c r="F114" s="497">
        <v>0</v>
      </c>
      <c r="G114" s="497">
        <v>0</v>
      </c>
      <c r="H114" s="497">
        <v>0</v>
      </c>
      <c r="I114" s="497">
        <v>0</v>
      </c>
      <c r="J114" s="498">
        <f>SUM(F114:I114)</f>
        <v>0</v>
      </c>
      <c r="K114" s="497">
        <v>0</v>
      </c>
      <c r="L114" s="497">
        <v>0</v>
      </c>
      <c r="M114" s="497">
        <v>0</v>
      </c>
      <c r="N114" s="497">
        <v>0</v>
      </c>
      <c r="O114" s="498">
        <f>SUM(K114:N114)</f>
        <v>0</v>
      </c>
      <c r="P114" s="497">
        <v>0</v>
      </c>
      <c r="Q114" s="497">
        <v>0</v>
      </c>
      <c r="R114" s="497">
        <v>0</v>
      </c>
      <c r="S114" s="497">
        <v>0</v>
      </c>
      <c r="T114" s="498">
        <f>SUM(P114:S114)</f>
        <v>0</v>
      </c>
      <c r="U114" s="505">
        <v>0</v>
      </c>
      <c r="V114" s="505">
        <v>0</v>
      </c>
      <c r="W114" s="505">
        <v>0</v>
      </c>
      <c r="X114" s="505">
        <v>0</v>
      </c>
      <c r="Y114" s="498">
        <f>SUM(U114:X114)</f>
        <v>0</v>
      </c>
      <c r="Z114" s="505">
        <v>0</v>
      </c>
      <c r="AA114" s="505">
        <v>0</v>
      </c>
      <c r="AB114" s="505">
        <v>0</v>
      </c>
      <c r="AC114" s="505">
        <v>0</v>
      </c>
      <c r="AD114" s="498">
        <f>SUM(Z114:AC114)</f>
        <v>0</v>
      </c>
      <c r="AE114" s="506">
        <v>0</v>
      </c>
      <c r="AF114" s="506">
        <v>0</v>
      </c>
      <c r="AG114" s="506">
        <v>0</v>
      </c>
    </row>
    <row r="115" ht="14.25" customHeight="1" spans="1:33" x14ac:dyDescent="0.25" outlineLevel="1" collapsed="1">
      <c r="C115" s="130" t="str">
        <f>C$94</f>
        <v>Asia Pacific</v>
      </c>
      <c r="D115" s="8"/>
      <c r="E115" s="8"/>
      <c r="F115" s="497">
        <v>0</v>
      </c>
      <c r="G115" s="497">
        <v>0</v>
      </c>
      <c r="H115" s="497">
        <v>0</v>
      </c>
      <c r="I115" s="497">
        <v>0</v>
      </c>
      <c r="J115" s="498">
        <f>SUM(F115:I115)</f>
        <v>0</v>
      </c>
      <c r="K115" s="497">
        <v>0</v>
      </c>
      <c r="L115" s="497">
        <v>0</v>
      </c>
      <c r="M115" s="497">
        <v>0</v>
      </c>
      <c r="N115" s="497">
        <v>0</v>
      </c>
      <c r="O115" s="498">
        <f>SUM(K115:N115)</f>
        <v>0</v>
      </c>
      <c r="P115" s="497">
        <v>0</v>
      </c>
      <c r="Q115" s="497">
        <v>0</v>
      </c>
      <c r="R115" s="497">
        <v>0</v>
      </c>
      <c r="S115" s="497">
        <v>0</v>
      </c>
      <c r="T115" s="498">
        <f>SUM(P115:S115)</f>
        <v>0</v>
      </c>
      <c r="U115" s="505">
        <v>0</v>
      </c>
      <c r="V115" s="505">
        <v>0</v>
      </c>
      <c r="W115" s="505">
        <v>0</v>
      </c>
      <c r="X115" s="505">
        <v>0</v>
      </c>
      <c r="Y115" s="498">
        <f>SUM(U115:X115)</f>
        <v>0</v>
      </c>
      <c r="Z115" s="505">
        <v>0</v>
      </c>
      <c r="AA115" s="505">
        <v>0</v>
      </c>
      <c r="AB115" s="505">
        <v>0</v>
      </c>
      <c r="AC115" s="505">
        <v>0</v>
      </c>
      <c r="AD115" s="498">
        <f>SUM(Z115:AC115)</f>
        <v>0</v>
      </c>
      <c r="AE115" s="506">
        <v>0</v>
      </c>
      <c r="AF115" s="506">
        <v>0</v>
      </c>
      <c r="AG115" s="506">
        <v>0</v>
      </c>
    </row>
    <row r="116" ht="14.25" customHeight="1" spans="1:33" x14ac:dyDescent="0.25" outlineLevel="1" collapsed="1">
      <c r="C116" s="130"/>
      <c r="D116" s="8"/>
      <c r="E116" s="8"/>
      <c r="F116" s="532"/>
      <c r="G116" s="532"/>
      <c r="H116" s="532"/>
      <c r="I116" s="532"/>
      <c r="J116" s="160"/>
      <c r="K116" s="532"/>
      <c r="L116" s="532"/>
      <c r="M116" s="532"/>
      <c r="N116" s="532"/>
      <c r="O116" s="160"/>
      <c r="P116" s="532"/>
      <c r="Q116" s="532"/>
      <c r="R116" s="532"/>
      <c r="S116" s="532"/>
      <c r="T116" s="160"/>
      <c r="U116" s="533"/>
      <c r="V116" s="533"/>
      <c r="W116" s="533"/>
      <c r="X116" s="533"/>
      <c r="Y116" s="160"/>
      <c r="Z116" s="533"/>
      <c r="AA116" s="533"/>
      <c r="AB116" s="533"/>
      <c r="AC116" s="533"/>
      <c r="AD116" s="160"/>
      <c r="AE116" s="534"/>
      <c r="AF116" s="534"/>
      <c r="AG116" s="534"/>
    </row>
    <row r="117" ht="14.25" customHeight="1" spans="1:33" x14ac:dyDescent="0.25" outlineLevel="1" collapsed="1">
      <c r="C117" s="8" t="str">
        <f>'Segment Analysis'!C11</f>
        <v>Environmental solutions Revenue</v>
      </c>
      <c r="D117" s="8"/>
      <c r="E117" s="8"/>
      <c r="F117" s="532"/>
      <c r="G117" s="532"/>
      <c r="H117" s="532"/>
      <c r="I117" s="532"/>
      <c r="J117" s="160"/>
      <c r="K117" s="532"/>
      <c r="L117" s="532"/>
      <c r="M117" s="532"/>
      <c r="N117" s="532"/>
      <c r="O117" s="160"/>
      <c r="P117" s="532"/>
      <c r="Q117" s="532"/>
      <c r="R117" s="532"/>
      <c r="S117" s="532"/>
      <c r="T117" s="160"/>
      <c r="U117" s="533"/>
      <c r="V117" s="533"/>
      <c r="W117" s="533"/>
      <c r="X117" s="533"/>
      <c r="Y117" s="160"/>
      <c r="Z117" s="533"/>
      <c r="AA117" s="533"/>
      <c r="AB117" s="533"/>
      <c r="AC117" s="533"/>
      <c r="AD117" s="160"/>
      <c r="AE117" s="534"/>
      <c r="AF117" s="534"/>
      <c r="AG117" s="534"/>
    </row>
    <row r="118" ht="14.25" customHeight="1" spans="1:33" x14ac:dyDescent="0.25" outlineLevel="1" collapsed="1">
      <c r="C118" s="130" t="str">
        <f>C$90</f>
        <v>North America</v>
      </c>
      <c r="D118" s="8"/>
      <c r="E118" s="8"/>
      <c r="F118" s="497">
        <v>0</v>
      </c>
      <c r="G118" s="497">
        <v>0</v>
      </c>
      <c r="H118" s="497">
        <v>0</v>
      </c>
      <c r="I118" s="497">
        <v>0</v>
      </c>
      <c r="J118" s="498">
        <f>SUM(F118:I118)</f>
        <v>0</v>
      </c>
      <c r="K118" s="497">
        <v>0</v>
      </c>
      <c r="L118" s="497">
        <v>0</v>
      </c>
      <c r="M118" s="497">
        <v>0</v>
      </c>
      <c r="N118" s="497">
        <v>0</v>
      </c>
      <c r="O118" s="498">
        <f>SUM(K118:N118)</f>
        <v>0</v>
      </c>
      <c r="P118" s="497">
        <v>0</v>
      </c>
      <c r="Q118" s="497">
        <v>0</v>
      </c>
      <c r="R118" s="497">
        <v>0</v>
      </c>
      <c r="S118" s="497">
        <v>0</v>
      </c>
      <c r="T118" s="498">
        <f>SUM(P118:S118)</f>
        <v>0</v>
      </c>
      <c r="U118" s="505">
        <v>0</v>
      </c>
      <c r="V118" s="505">
        <v>0</v>
      </c>
      <c r="W118" s="505">
        <v>0</v>
      </c>
      <c r="X118" s="505">
        <v>0</v>
      </c>
      <c r="Y118" s="498">
        <f>SUM(U118:X118)</f>
        <v>0</v>
      </c>
      <c r="Z118" s="505">
        <v>0</v>
      </c>
      <c r="AA118" s="505">
        <v>0</v>
      </c>
      <c r="AB118" s="505">
        <v>0</v>
      </c>
      <c r="AC118" s="505">
        <v>0</v>
      </c>
      <c r="AD118" s="498">
        <f>SUM(Z118:AC118)</f>
        <v>0</v>
      </c>
      <c r="AE118" s="506">
        <v>0</v>
      </c>
      <c r="AF118" s="506">
        <v>0</v>
      </c>
      <c r="AG118" s="506">
        <v>0</v>
      </c>
    </row>
    <row r="119" ht="14.25" customHeight="1" spans="1:33" x14ac:dyDescent="0.25" outlineLevel="1" collapsed="1">
      <c r="C119" s="130" t="str">
        <f>C$91</f>
        <v>Europe</v>
      </c>
      <c r="D119" s="8"/>
      <c r="E119" s="8"/>
      <c r="F119" s="497">
        <v>0</v>
      </c>
      <c r="G119" s="497">
        <v>0</v>
      </c>
      <c r="H119" s="497">
        <v>0</v>
      </c>
      <c r="I119" s="497">
        <v>0</v>
      </c>
      <c r="J119" s="498">
        <f>SUM(F119:I119)</f>
        <v>0</v>
      </c>
      <c r="K119" s="497">
        <v>0</v>
      </c>
      <c r="L119" s="497">
        <v>0</v>
      </c>
      <c r="M119" s="497">
        <v>0</v>
      </c>
      <c r="N119" s="497">
        <v>0</v>
      </c>
      <c r="O119" s="498">
        <f>SUM(K119:N119)</f>
        <v>0</v>
      </c>
      <c r="P119" s="497">
        <v>0</v>
      </c>
      <c r="Q119" s="497">
        <v>0</v>
      </c>
      <c r="R119" s="497">
        <v>0</v>
      </c>
      <c r="S119" s="497">
        <v>0</v>
      </c>
      <c r="T119" s="498">
        <f>SUM(P119:S119)</f>
        <v>0</v>
      </c>
      <c r="U119" s="505">
        <v>0</v>
      </c>
      <c r="V119" s="505">
        <v>0</v>
      </c>
      <c r="W119" s="505">
        <v>0</v>
      </c>
      <c r="X119" s="505">
        <v>0</v>
      </c>
      <c r="Y119" s="498">
        <f>SUM(U119:X119)</f>
        <v>0</v>
      </c>
      <c r="Z119" s="505">
        <v>0</v>
      </c>
      <c r="AA119" s="505">
        <v>0</v>
      </c>
      <c r="AB119" s="505">
        <v>0</v>
      </c>
      <c r="AC119" s="505">
        <v>0</v>
      </c>
      <c r="AD119" s="498">
        <f>SUM(Z119:AC119)</f>
        <v>0</v>
      </c>
      <c r="AE119" s="506">
        <v>0</v>
      </c>
      <c r="AF119" s="506">
        <v>0</v>
      </c>
      <c r="AG119" s="506">
        <v>0</v>
      </c>
    </row>
    <row r="120" ht="14.25" customHeight="1" spans="1:33" x14ac:dyDescent="0.25" outlineLevel="1" collapsed="1">
      <c r="C120" s="130" t="str">
        <f>C$92</f>
        <v>South America</v>
      </c>
      <c r="D120" s="8"/>
      <c r="E120" s="8"/>
      <c r="F120" s="497">
        <v>0</v>
      </c>
      <c r="G120" s="497">
        <v>0</v>
      </c>
      <c r="H120" s="497">
        <v>0</v>
      </c>
      <c r="I120" s="497">
        <v>0</v>
      </c>
      <c r="J120" s="498">
        <f>SUM(F120:I120)</f>
        <v>0</v>
      </c>
      <c r="K120" s="497">
        <v>0</v>
      </c>
      <c r="L120" s="497">
        <v>0</v>
      </c>
      <c r="M120" s="497">
        <v>0</v>
      </c>
      <c r="N120" s="497">
        <v>0</v>
      </c>
      <c r="O120" s="498">
        <f>SUM(K120:N120)</f>
        <v>0</v>
      </c>
      <c r="P120" s="497">
        <v>0</v>
      </c>
      <c r="Q120" s="497">
        <v>0</v>
      </c>
      <c r="R120" s="497">
        <v>0</v>
      </c>
      <c r="S120" s="497">
        <v>0</v>
      </c>
      <c r="T120" s="498">
        <f>SUM(P120:S120)</f>
        <v>0</v>
      </c>
      <c r="U120" s="505">
        <v>0</v>
      </c>
      <c r="V120" s="505">
        <v>0</v>
      </c>
      <c r="W120" s="505">
        <v>0</v>
      </c>
      <c r="X120" s="505">
        <v>0</v>
      </c>
      <c r="Y120" s="498">
        <f>SUM(U120:X120)</f>
        <v>0</v>
      </c>
      <c r="Z120" s="505">
        <v>0</v>
      </c>
      <c r="AA120" s="505">
        <v>0</v>
      </c>
      <c r="AB120" s="505">
        <v>0</v>
      </c>
      <c r="AC120" s="505">
        <v>0</v>
      </c>
      <c r="AD120" s="498">
        <f>SUM(Z120:AC120)</f>
        <v>0</v>
      </c>
      <c r="AE120" s="506">
        <v>0</v>
      </c>
      <c r="AF120" s="506">
        <v>0</v>
      </c>
      <c r="AG120" s="506">
        <v>0</v>
      </c>
    </row>
    <row r="121" ht="14.25" customHeight="1" spans="1:33" x14ac:dyDescent="0.25" outlineLevel="1" collapsed="1">
      <c r="C121" s="130" t="str">
        <f>C$93</f>
        <v>Middle East &amp; Africa</v>
      </c>
      <c r="D121" s="8"/>
      <c r="E121" s="8"/>
      <c r="F121" s="497">
        <v>0</v>
      </c>
      <c r="G121" s="497">
        <v>0</v>
      </c>
      <c r="H121" s="497">
        <v>0</v>
      </c>
      <c r="I121" s="497">
        <v>0</v>
      </c>
      <c r="J121" s="498">
        <f>SUM(F121:I121)</f>
        <v>0</v>
      </c>
      <c r="K121" s="497">
        <v>0</v>
      </c>
      <c r="L121" s="497">
        <v>0</v>
      </c>
      <c r="M121" s="497">
        <v>0</v>
      </c>
      <c r="N121" s="497">
        <v>0</v>
      </c>
      <c r="O121" s="498">
        <f>SUM(K121:N121)</f>
        <v>0</v>
      </c>
      <c r="P121" s="497">
        <v>0</v>
      </c>
      <c r="Q121" s="497">
        <v>0</v>
      </c>
      <c r="R121" s="497">
        <v>0</v>
      </c>
      <c r="S121" s="497">
        <v>0</v>
      </c>
      <c r="T121" s="498">
        <f>SUM(P121:S121)</f>
        <v>0</v>
      </c>
      <c r="U121" s="505">
        <v>0</v>
      </c>
      <c r="V121" s="505">
        <v>0</v>
      </c>
      <c r="W121" s="505">
        <v>0</v>
      </c>
      <c r="X121" s="505">
        <v>0</v>
      </c>
      <c r="Y121" s="498">
        <f>SUM(U121:X121)</f>
        <v>0</v>
      </c>
      <c r="Z121" s="505">
        <v>0</v>
      </c>
      <c r="AA121" s="505">
        <v>0</v>
      </c>
      <c r="AB121" s="505">
        <v>0</v>
      </c>
      <c r="AC121" s="505">
        <v>0</v>
      </c>
      <c r="AD121" s="498">
        <f>SUM(Z121:AC121)</f>
        <v>0</v>
      </c>
      <c r="AE121" s="506">
        <v>0</v>
      </c>
      <c r="AF121" s="506">
        <v>0</v>
      </c>
      <c r="AG121" s="506">
        <v>0</v>
      </c>
    </row>
    <row r="122" ht="14.25" customHeight="1" spans="1:33" x14ac:dyDescent="0.25" outlineLevel="1" collapsed="1">
      <c r="C122" s="130" t="str">
        <f>C$94</f>
        <v>Asia Pacific</v>
      </c>
      <c r="D122" s="8"/>
      <c r="E122" s="8"/>
      <c r="F122" s="497">
        <v>0</v>
      </c>
      <c r="G122" s="497">
        <v>0</v>
      </c>
      <c r="H122" s="497">
        <v>0</v>
      </c>
      <c r="I122" s="497">
        <v>0</v>
      </c>
      <c r="J122" s="498">
        <f>SUM(F122:I122)</f>
        <v>0</v>
      </c>
      <c r="K122" s="497">
        <v>0</v>
      </c>
      <c r="L122" s="497">
        <v>0</v>
      </c>
      <c r="M122" s="497">
        <v>0</v>
      </c>
      <c r="N122" s="497">
        <v>0</v>
      </c>
      <c r="O122" s="498">
        <f>SUM(K122:N122)</f>
        <v>0</v>
      </c>
      <c r="P122" s="497">
        <v>0</v>
      </c>
      <c r="Q122" s="497">
        <v>0</v>
      </c>
      <c r="R122" s="497">
        <v>0</v>
      </c>
      <c r="S122" s="497">
        <v>0</v>
      </c>
      <c r="T122" s="498">
        <f>SUM(P122:S122)</f>
        <v>0</v>
      </c>
      <c r="U122" s="505">
        <v>0</v>
      </c>
      <c r="V122" s="505">
        <v>0</v>
      </c>
      <c r="W122" s="505">
        <v>0</v>
      </c>
      <c r="X122" s="505">
        <v>0</v>
      </c>
      <c r="Y122" s="498">
        <f>SUM(U122:X122)</f>
        <v>0</v>
      </c>
      <c r="Z122" s="505">
        <v>0</v>
      </c>
      <c r="AA122" s="505">
        <v>0</v>
      </c>
      <c r="AB122" s="505">
        <v>0</v>
      </c>
      <c r="AC122" s="505">
        <v>0</v>
      </c>
      <c r="AD122" s="498">
        <f>SUM(Z122:AC122)</f>
        <v>0</v>
      </c>
      <c r="AE122" s="506">
        <v>0</v>
      </c>
      <c r="AF122" s="506">
        <v>0</v>
      </c>
      <c r="AG122" s="506">
        <v>0</v>
      </c>
    </row>
    <row r="123" ht="14.25" customHeight="1" spans="1:33" x14ac:dyDescent="0.25" outlineLevel="1" collapsed="1">
      <c r="C123" s="8"/>
      <c r="D123" s="8"/>
      <c r="E123" s="8"/>
      <c r="F123" s="532"/>
      <c r="G123" s="532"/>
      <c r="H123" s="532"/>
      <c r="I123" s="532"/>
      <c r="J123" s="160"/>
      <c r="K123" s="532"/>
      <c r="L123" s="532"/>
      <c r="M123" s="532"/>
      <c r="N123" s="532"/>
      <c r="O123" s="160"/>
      <c r="P123" s="532"/>
      <c r="Q123" s="532"/>
      <c r="R123" s="532"/>
      <c r="S123" s="532"/>
      <c r="T123" s="160"/>
      <c r="U123" s="533"/>
      <c r="V123" s="533"/>
      <c r="W123" s="533"/>
      <c r="X123" s="533"/>
      <c r="Y123" s="160"/>
      <c r="Z123" s="533"/>
      <c r="AA123" s="533"/>
      <c r="AB123" s="533"/>
      <c r="AC123" s="533"/>
      <c r="AD123" s="160"/>
      <c r="AE123" s="534"/>
      <c r="AF123" s="534"/>
      <c r="AG123" s="534"/>
    </row>
    <row r="124" ht="14.25" customHeight="1" spans="1:33" x14ac:dyDescent="0.25" outlineLevel="1" collapsed="1">
      <c r="C124" s="8" t="str">
        <f>'Segment Analysis'!C12</f>
        <v>Transfer Revenue</v>
      </c>
      <c r="D124" s="8"/>
      <c r="E124" s="8"/>
      <c r="F124" s="532"/>
      <c r="G124" s="532"/>
      <c r="H124" s="532"/>
      <c r="I124" s="532"/>
      <c r="J124" s="160"/>
      <c r="K124" s="532"/>
      <c r="L124" s="532"/>
      <c r="M124" s="532"/>
      <c r="N124" s="532"/>
      <c r="O124" s="160"/>
      <c r="P124" s="532"/>
      <c r="Q124" s="532"/>
      <c r="R124" s="532"/>
      <c r="S124" s="532"/>
      <c r="T124" s="160"/>
      <c r="U124" s="533"/>
      <c r="V124" s="533"/>
      <c r="W124" s="533"/>
      <c r="X124" s="533"/>
      <c r="Y124" s="160"/>
      <c r="Z124" s="533"/>
      <c r="AA124" s="533"/>
      <c r="AB124" s="533"/>
      <c r="AC124" s="533"/>
      <c r="AD124" s="160"/>
      <c r="AE124" s="534"/>
      <c r="AF124" s="534"/>
      <c r="AG124" s="534"/>
    </row>
    <row r="125" ht="14.25" customHeight="1" spans="1:33" x14ac:dyDescent="0.25" outlineLevel="1" collapsed="1">
      <c r="C125" s="130" t="str">
        <f>C$90</f>
        <v>North America</v>
      </c>
      <c r="D125" s="8"/>
      <c r="E125" s="8"/>
      <c r="F125" s="497">
        <v>0</v>
      </c>
      <c r="G125" s="497">
        <v>0</v>
      </c>
      <c r="H125" s="497">
        <v>0</v>
      </c>
      <c r="I125" s="497">
        <v>0</v>
      </c>
      <c r="J125" s="498">
        <f>SUM(F125:I125)</f>
        <v>0</v>
      </c>
      <c r="K125" s="497">
        <v>0</v>
      </c>
      <c r="L125" s="497">
        <v>0</v>
      </c>
      <c r="M125" s="497">
        <v>0</v>
      </c>
      <c r="N125" s="497">
        <v>0</v>
      </c>
      <c r="O125" s="498">
        <f>SUM(K125:N125)</f>
        <v>0</v>
      </c>
      <c r="P125" s="497">
        <v>0</v>
      </c>
      <c r="Q125" s="497">
        <v>0</v>
      </c>
      <c r="R125" s="497">
        <v>0</v>
      </c>
      <c r="S125" s="497">
        <v>0</v>
      </c>
      <c r="T125" s="498">
        <f>SUM(P125:S125)</f>
        <v>0</v>
      </c>
      <c r="U125" s="505">
        <v>0</v>
      </c>
      <c r="V125" s="505">
        <v>0</v>
      </c>
      <c r="W125" s="505">
        <v>0</v>
      </c>
      <c r="X125" s="505">
        <v>0</v>
      </c>
      <c r="Y125" s="498">
        <f>SUM(U125:X125)</f>
        <v>0</v>
      </c>
      <c r="Z125" s="505">
        <v>0</v>
      </c>
      <c r="AA125" s="505">
        <v>0</v>
      </c>
      <c r="AB125" s="505">
        <v>0</v>
      </c>
      <c r="AC125" s="505">
        <v>0</v>
      </c>
      <c r="AD125" s="498">
        <f>SUM(Z125:AC125)</f>
        <v>0</v>
      </c>
      <c r="AE125" s="506">
        <v>0</v>
      </c>
      <c r="AF125" s="506">
        <v>0</v>
      </c>
      <c r="AG125" s="506">
        <v>0</v>
      </c>
    </row>
    <row r="126" ht="14.25" customHeight="1" spans="1:33" x14ac:dyDescent="0.25" outlineLevel="1" collapsed="1">
      <c r="C126" s="130" t="str">
        <f>C$91</f>
        <v>Europe</v>
      </c>
      <c r="D126" s="8"/>
      <c r="E126" s="8"/>
      <c r="F126" s="497">
        <v>0</v>
      </c>
      <c r="G126" s="497">
        <v>0</v>
      </c>
      <c r="H126" s="497">
        <v>0</v>
      </c>
      <c r="I126" s="497">
        <v>0</v>
      </c>
      <c r="J126" s="498">
        <f>SUM(F126:I126)</f>
        <v>0</v>
      </c>
      <c r="K126" s="497">
        <v>0</v>
      </c>
      <c r="L126" s="497">
        <v>0</v>
      </c>
      <c r="M126" s="497">
        <v>0</v>
      </c>
      <c r="N126" s="497">
        <v>0</v>
      </c>
      <c r="O126" s="498">
        <f>SUM(K126:N126)</f>
        <v>0</v>
      </c>
      <c r="P126" s="497">
        <v>0</v>
      </c>
      <c r="Q126" s="497">
        <v>0</v>
      </c>
      <c r="R126" s="497">
        <v>0</v>
      </c>
      <c r="S126" s="497">
        <v>0</v>
      </c>
      <c r="T126" s="498">
        <f>SUM(P126:S126)</f>
        <v>0</v>
      </c>
      <c r="U126" s="505">
        <v>0</v>
      </c>
      <c r="V126" s="505">
        <v>0</v>
      </c>
      <c r="W126" s="505">
        <v>0</v>
      </c>
      <c r="X126" s="505">
        <v>0</v>
      </c>
      <c r="Y126" s="498">
        <f>SUM(U126:X126)</f>
        <v>0</v>
      </c>
      <c r="Z126" s="505">
        <v>0</v>
      </c>
      <c r="AA126" s="505">
        <v>0</v>
      </c>
      <c r="AB126" s="505">
        <v>0</v>
      </c>
      <c r="AC126" s="505">
        <v>0</v>
      </c>
      <c r="AD126" s="498">
        <f>SUM(Z126:AC126)</f>
        <v>0</v>
      </c>
      <c r="AE126" s="506">
        <v>0</v>
      </c>
      <c r="AF126" s="506">
        <v>0</v>
      </c>
      <c r="AG126" s="506">
        <v>0</v>
      </c>
    </row>
    <row r="127" ht="14.25" customHeight="1" spans="1:33" x14ac:dyDescent="0.25" outlineLevel="1" collapsed="1">
      <c r="C127" s="130" t="str">
        <f>C$92</f>
        <v>South America</v>
      </c>
      <c r="D127" s="8"/>
      <c r="E127" s="8"/>
      <c r="F127" s="497">
        <v>0</v>
      </c>
      <c r="G127" s="497">
        <v>0</v>
      </c>
      <c r="H127" s="497">
        <v>0</v>
      </c>
      <c r="I127" s="497">
        <v>0</v>
      </c>
      <c r="J127" s="498">
        <f>SUM(F127:I127)</f>
        <v>0</v>
      </c>
      <c r="K127" s="497">
        <v>0</v>
      </c>
      <c r="L127" s="497">
        <v>0</v>
      </c>
      <c r="M127" s="497">
        <v>0</v>
      </c>
      <c r="N127" s="497">
        <v>0</v>
      </c>
      <c r="O127" s="498">
        <f>SUM(K127:N127)</f>
        <v>0</v>
      </c>
      <c r="P127" s="497">
        <v>0</v>
      </c>
      <c r="Q127" s="497">
        <v>0</v>
      </c>
      <c r="R127" s="497">
        <v>0</v>
      </c>
      <c r="S127" s="497">
        <v>0</v>
      </c>
      <c r="T127" s="498">
        <f>SUM(P127:S127)</f>
        <v>0</v>
      </c>
      <c r="U127" s="505">
        <v>0</v>
      </c>
      <c r="V127" s="505">
        <v>0</v>
      </c>
      <c r="W127" s="505">
        <v>0</v>
      </c>
      <c r="X127" s="505">
        <v>0</v>
      </c>
      <c r="Y127" s="498">
        <f>SUM(U127:X127)</f>
        <v>0</v>
      </c>
      <c r="Z127" s="505">
        <v>0</v>
      </c>
      <c r="AA127" s="505">
        <v>0</v>
      </c>
      <c r="AB127" s="505">
        <v>0</v>
      </c>
      <c r="AC127" s="505">
        <v>0</v>
      </c>
      <c r="AD127" s="498">
        <f>SUM(Z127:AC127)</f>
        <v>0</v>
      </c>
      <c r="AE127" s="506">
        <v>0</v>
      </c>
      <c r="AF127" s="506">
        <v>0</v>
      </c>
      <c r="AG127" s="506">
        <v>0</v>
      </c>
    </row>
    <row r="128" ht="14.25" customHeight="1" spans="1:33" x14ac:dyDescent="0.25" outlineLevel="1" collapsed="1">
      <c r="C128" s="130" t="str">
        <f>C$93</f>
        <v>Middle East &amp; Africa</v>
      </c>
      <c r="D128" s="8"/>
      <c r="E128" s="8"/>
      <c r="F128" s="497">
        <v>0</v>
      </c>
      <c r="G128" s="497">
        <v>0</v>
      </c>
      <c r="H128" s="497">
        <v>0</v>
      </c>
      <c r="I128" s="497">
        <v>0</v>
      </c>
      <c r="J128" s="498">
        <f>SUM(F128:I128)</f>
        <v>0</v>
      </c>
      <c r="K128" s="497">
        <v>0</v>
      </c>
      <c r="L128" s="497">
        <v>0</v>
      </c>
      <c r="M128" s="497">
        <v>0</v>
      </c>
      <c r="N128" s="497">
        <v>0</v>
      </c>
      <c r="O128" s="498">
        <f>SUM(K128:N128)</f>
        <v>0</v>
      </c>
      <c r="P128" s="497">
        <v>0</v>
      </c>
      <c r="Q128" s="497">
        <v>0</v>
      </c>
      <c r="R128" s="497">
        <v>0</v>
      </c>
      <c r="S128" s="497">
        <v>0</v>
      </c>
      <c r="T128" s="498">
        <f>SUM(P128:S128)</f>
        <v>0</v>
      </c>
      <c r="U128" s="505">
        <v>0</v>
      </c>
      <c r="V128" s="505">
        <v>0</v>
      </c>
      <c r="W128" s="505">
        <v>0</v>
      </c>
      <c r="X128" s="505">
        <v>0</v>
      </c>
      <c r="Y128" s="498">
        <f>SUM(U128:X128)</f>
        <v>0</v>
      </c>
      <c r="Z128" s="505">
        <v>0</v>
      </c>
      <c r="AA128" s="505">
        <v>0</v>
      </c>
      <c r="AB128" s="505">
        <v>0</v>
      </c>
      <c r="AC128" s="505">
        <v>0</v>
      </c>
      <c r="AD128" s="498">
        <f>SUM(Z128:AC128)</f>
        <v>0</v>
      </c>
      <c r="AE128" s="506">
        <v>0</v>
      </c>
      <c r="AF128" s="506">
        <v>0</v>
      </c>
      <c r="AG128" s="506">
        <v>0</v>
      </c>
    </row>
    <row r="129" ht="14.25" customHeight="1" spans="1:33" x14ac:dyDescent="0.25" outlineLevel="1" collapsed="1">
      <c r="C129" s="130" t="str">
        <f>C$94</f>
        <v>Asia Pacific</v>
      </c>
      <c r="D129" s="8"/>
      <c r="E129" s="8"/>
      <c r="F129" s="497">
        <v>0</v>
      </c>
      <c r="G129" s="497">
        <v>0</v>
      </c>
      <c r="H129" s="497">
        <v>0</v>
      </c>
      <c r="I129" s="497">
        <v>0</v>
      </c>
      <c r="J129" s="498">
        <f>SUM(F129:I129)</f>
        <v>0</v>
      </c>
      <c r="K129" s="497">
        <v>0</v>
      </c>
      <c r="L129" s="497">
        <v>0</v>
      </c>
      <c r="M129" s="497">
        <v>0</v>
      </c>
      <c r="N129" s="497">
        <v>0</v>
      </c>
      <c r="O129" s="498">
        <f>SUM(K129:N129)</f>
        <v>0</v>
      </c>
      <c r="P129" s="497">
        <v>0</v>
      </c>
      <c r="Q129" s="497">
        <v>0</v>
      </c>
      <c r="R129" s="497">
        <v>0</v>
      </c>
      <c r="S129" s="497">
        <v>0</v>
      </c>
      <c r="T129" s="498">
        <f>SUM(P129:S129)</f>
        <v>0</v>
      </c>
      <c r="U129" s="505">
        <v>0</v>
      </c>
      <c r="V129" s="505">
        <v>0</v>
      </c>
      <c r="W129" s="505">
        <v>0</v>
      </c>
      <c r="X129" s="505">
        <v>0</v>
      </c>
      <c r="Y129" s="498">
        <f>SUM(U129:X129)</f>
        <v>0</v>
      </c>
      <c r="Z129" s="505">
        <v>0</v>
      </c>
      <c r="AA129" s="505">
        <v>0</v>
      </c>
      <c r="AB129" s="505">
        <v>0</v>
      </c>
      <c r="AC129" s="505">
        <v>0</v>
      </c>
      <c r="AD129" s="498">
        <f>SUM(Z129:AC129)</f>
        <v>0</v>
      </c>
      <c r="AE129" s="506">
        <v>0</v>
      </c>
      <c r="AF129" s="506">
        <v>0</v>
      </c>
      <c r="AG129" s="506">
        <v>0</v>
      </c>
    </row>
    <row r="130" ht="14.25" customHeight="1" spans="1:33" x14ac:dyDescent="0.25" outlineLevel="1" collapsed="1">
      <c r="C130" s="8"/>
      <c r="D130" s="8"/>
      <c r="E130" s="8"/>
      <c r="F130" s="532"/>
      <c r="G130" s="532"/>
      <c r="H130" s="532"/>
      <c r="I130" s="532"/>
      <c r="J130" s="160"/>
      <c r="K130" s="532"/>
      <c r="L130" s="532"/>
      <c r="M130" s="532"/>
      <c r="N130" s="532"/>
      <c r="O130" s="160"/>
      <c r="P130" s="532"/>
      <c r="Q130" s="532"/>
      <c r="R130" s="532"/>
      <c r="S130" s="532"/>
      <c r="T130" s="160"/>
      <c r="U130" s="533"/>
      <c r="V130" s="533"/>
      <c r="W130" s="533"/>
      <c r="X130" s="533"/>
      <c r="Y130" s="160"/>
      <c r="Z130" s="533"/>
      <c r="AA130" s="533"/>
      <c r="AB130" s="533"/>
      <c r="AC130" s="533"/>
      <c r="AD130" s="160"/>
      <c r="AE130" s="534"/>
      <c r="AF130" s="534"/>
      <c r="AG130" s="534"/>
    </row>
    <row r="131" ht="14.25" customHeight="1" spans="1:33" x14ac:dyDescent="0.25" outlineLevel="1" collapsed="1">
      <c r="C131" s="8" t="str">
        <f>'Segment Analysis'!C13</f>
        <v>Other Revenue</v>
      </c>
      <c r="D131" s="8"/>
      <c r="E131" s="8"/>
      <c r="F131" s="532"/>
      <c r="G131" s="532"/>
      <c r="H131" s="532"/>
      <c r="I131" s="532"/>
      <c r="J131" s="160"/>
      <c r="K131" s="532"/>
      <c r="L131" s="532"/>
      <c r="M131" s="532"/>
      <c r="N131" s="532"/>
      <c r="O131" s="160"/>
      <c r="P131" s="532"/>
      <c r="Q131" s="532"/>
      <c r="R131" s="532"/>
      <c r="S131" s="532"/>
      <c r="T131" s="160"/>
      <c r="U131" s="533"/>
      <c r="V131" s="533"/>
      <c r="W131" s="533"/>
      <c r="X131" s="533"/>
      <c r="Y131" s="160"/>
      <c r="Z131" s="533"/>
      <c r="AA131" s="533"/>
      <c r="AB131" s="533"/>
      <c r="AC131" s="533"/>
      <c r="AD131" s="160"/>
      <c r="AE131" s="534"/>
      <c r="AF131" s="534"/>
      <c r="AG131" s="534"/>
    </row>
    <row r="132" ht="14.25" customHeight="1" spans="1:33" x14ac:dyDescent="0.25" outlineLevel="1" collapsed="1">
      <c r="C132" s="130" t="str">
        <f>C$90</f>
        <v>North America</v>
      </c>
      <c r="D132" s="8"/>
      <c r="E132" s="8"/>
      <c r="F132" s="497">
        <v>0</v>
      </c>
      <c r="G132" s="497">
        <v>0</v>
      </c>
      <c r="H132" s="497">
        <v>0</v>
      </c>
      <c r="I132" s="497">
        <v>0</v>
      </c>
      <c r="J132" s="498">
        <f>SUM(F132:I132)</f>
        <v>0</v>
      </c>
      <c r="K132" s="497">
        <v>0</v>
      </c>
      <c r="L132" s="497">
        <v>0</v>
      </c>
      <c r="M132" s="497">
        <v>0</v>
      </c>
      <c r="N132" s="497">
        <v>0</v>
      </c>
      <c r="O132" s="498">
        <f>SUM(K132:N132)</f>
        <v>0</v>
      </c>
      <c r="P132" s="497">
        <v>0</v>
      </c>
      <c r="Q132" s="497">
        <v>0</v>
      </c>
      <c r="R132" s="497">
        <v>0</v>
      </c>
      <c r="S132" s="497">
        <v>0</v>
      </c>
      <c r="T132" s="498">
        <f>SUM(P132:S132)</f>
        <v>0</v>
      </c>
      <c r="U132" s="505">
        <v>0</v>
      </c>
      <c r="V132" s="505">
        <v>0</v>
      </c>
      <c r="W132" s="505">
        <v>0</v>
      </c>
      <c r="X132" s="505">
        <v>0</v>
      </c>
      <c r="Y132" s="498">
        <f>SUM(U132:X132)</f>
        <v>0</v>
      </c>
      <c r="Z132" s="505">
        <v>0</v>
      </c>
      <c r="AA132" s="505">
        <v>0</v>
      </c>
      <c r="AB132" s="505">
        <v>0</v>
      </c>
      <c r="AC132" s="505">
        <v>0</v>
      </c>
      <c r="AD132" s="498">
        <f>SUM(Z132:AC132)</f>
        <v>0</v>
      </c>
      <c r="AE132" s="506">
        <v>0</v>
      </c>
      <c r="AF132" s="506">
        <v>0</v>
      </c>
      <c r="AG132" s="506">
        <v>0</v>
      </c>
    </row>
    <row r="133" ht="14.25" customHeight="1" spans="1:33" x14ac:dyDescent="0.25" outlineLevel="1" collapsed="1">
      <c r="C133" s="130" t="str">
        <f>C$91</f>
        <v>Europe</v>
      </c>
      <c r="D133" s="8"/>
      <c r="E133" s="8"/>
      <c r="F133" s="497">
        <v>0</v>
      </c>
      <c r="G133" s="497">
        <v>0</v>
      </c>
      <c r="H133" s="497">
        <v>0</v>
      </c>
      <c r="I133" s="497">
        <v>0</v>
      </c>
      <c r="J133" s="498">
        <f>SUM(F133:I133)</f>
        <v>0</v>
      </c>
      <c r="K133" s="497">
        <v>0</v>
      </c>
      <c r="L133" s="497">
        <v>0</v>
      </c>
      <c r="M133" s="497">
        <v>0</v>
      </c>
      <c r="N133" s="497">
        <v>0</v>
      </c>
      <c r="O133" s="498">
        <f>SUM(K133:N133)</f>
        <v>0</v>
      </c>
      <c r="P133" s="497">
        <v>0</v>
      </c>
      <c r="Q133" s="497">
        <v>0</v>
      </c>
      <c r="R133" s="497">
        <v>0</v>
      </c>
      <c r="S133" s="497">
        <v>0</v>
      </c>
      <c r="T133" s="498">
        <f>SUM(P133:S133)</f>
        <v>0</v>
      </c>
      <c r="U133" s="505">
        <v>0</v>
      </c>
      <c r="V133" s="505">
        <v>0</v>
      </c>
      <c r="W133" s="505">
        <v>0</v>
      </c>
      <c r="X133" s="505">
        <v>0</v>
      </c>
      <c r="Y133" s="498">
        <f>SUM(U133:X133)</f>
        <v>0</v>
      </c>
      <c r="Z133" s="505">
        <v>0</v>
      </c>
      <c r="AA133" s="505">
        <v>0</v>
      </c>
      <c r="AB133" s="505">
        <v>0</v>
      </c>
      <c r="AC133" s="505">
        <v>0</v>
      </c>
      <c r="AD133" s="498">
        <f>SUM(Z133:AC133)</f>
        <v>0</v>
      </c>
      <c r="AE133" s="506">
        <v>0</v>
      </c>
      <c r="AF133" s="506">
        <v>0</v>
      </c>
      <c r="AG133" s="506">
        <v>0</v>
      </c>
    </row>
    <row r="134" ht="14.25" customHeight="1" spans="1:33" x14ac:dyDescent="0.25" outlineLevel="1" collapsed="1">
      <c r="C134" s="130" t="str">
        <f>C$92</f>
        <v>South America</v>
      </c>
      <c r="D134" s="8"/>
      <c r="E134" s="8"/>
      <c r="F134" s="497">
        <v>0</v>
      </c>
      <c r="G134" s="497">
        <v>0</v>
      </c>
      <c r="H134" s="497">
        <v>0</v>
      </c>
      <c r="I134" s="497">
        <v>0</v>
      </c>
      <c r="J134" s="498">
        <f>SUM(F134:I134)</f>
        <v>0</v>
      </c>
      <c r="K134" s="497">
        <v>0</v>
      </c>
      <c r="L134" s="497">
        <v>0</v>
      </c>
      <c r="M134" s="497">
        <v>0</v>
      </c>
      <c r="N134" s="497">
        <v>0</v>
      </c>
      <c r="O134" s="498">
        <f>SUM(K134:N134)</f>
        <v>0</v>
      </c>
      <c r="P134" s="497">
        <v>0</v>
      </c>
      <c r="Q134" s="497">
        <v>0</v>
      </c>
      <c r="R134" s="497">
        <v>0</v>
      </c>
      <c r="S134" s="497">
        <v>0</v>
      </c>
      <c r="T134" s="498">
        <f>SUM(P134:S134)</f>
        <v>0</v>
      </c>
      <c r="U134" s="505">
        <v>0</v>
      </c>
      <c r="V134" s="505">
        <v>0</v>
      </c>
      <c r="W134" s="505">
        <v>0</v>
      </c>
      <c r="X134" s="505">
        <v>0</v>
      </c>
      <c r="Y134" s="498">
        <f>SUM(U134:X134)</f>
        <v>0</v>
      </c>
      <c r="Z134" s="505">
        <v>0</v>
      </c>
      <c r="AA134" s="505">
        <v>0</v>
      </c>
      <c r="AB134" s="505">
        <v>0</v>
      </c>
      <c r="AC134" s="505">
        <v>0</v>
      </c>
      <c r="AD134" s="498">
        <f>SUM(Z134:AC134)</f>
        <v>0</v>
      </c>
      <c r="AE134" s="506">
        <v>0</v>
      </c>
      <c r="AF134" s="506">
        <v>0</v>
      </c>
      <c r="AG134" s="506">
        <v>0</v>
      </c>
    </row>
    <row r="135" ht="14.25" customHeight="1" spans="1:33" x14ac:dyDescent="0.25" outlineLevel="1" collapsed="1">
      <c r="C135" s="130" t="str">
        <f>C$93</f>
        <v>Middle East &amp; Africa</v>
      </c>
      <c r="D135" s="8"/>
      <c r="E135" s="8"/>
      <c r="F135" s="497">
        <v>0</v>
      </c>
      <c r="G135" s="497">
        <v>0</v>
      </c>
      <c r="H135" s="497">
        <v>0</v>
      </c>
      <c r="I135" s="497">
        <v>0</v>
      </c>
      <c r="J135" s="498">
        <f>SUM(F135:I135)</f>
        <v>0</v>
      </c>
      <c r="K135" s="497">
        <v>0</v>
      </c>
      <c r="L135" s="497">
        <v>0</v>
      </c>
      <c r="M135" s="497">
        <v>0</v>
      </c>
      <c r="N135" s="497">
        <v>0</v>
      </c>
      <c r="O135" s="498">
        <f>SUM(K135:N135)</f>
        <v>0</v>
      </c>
      <c r="P135" s="497">
        <v>0</v>
      </c>
      <c r="Q135" s="497">
        <v>0</v>
      </c>
      <c r="R135" s="497">
        <v>0</v>
      </c>
      <c r="S135" s="497">
        <v>0</v>
      </c>
      <c r="T135" s="498">
        <f>SUM(P135:S135)</f>
        <v>0</v>
      </c>
      <c r="U135" s="505">
        <v>0</v>
      </c>
      <c r="V135" s="505">
        <v>0</v>
      </c>
      <c r="W135" s="505">
        <v>0</v>
      </c>
      <c r="X135" s="505">
        <v>0</v>
      </c>
      <c r="Y135" s="498">
        <f>SUM(U135:X135)</f>
        <v>0</v>
      </c>
      <c r="Z135" s="505">
        <v>0</v>
      </c>
      <c r="AA135" s="505">
        <v>0</v>
      </c>
      <c r="AB135" s="505">
        <v>0</v>
      </c>
      <c r="AC135" s="505">
        <v>0</v>
      </c>
      <c r="AD135" s="498">
        <f>SUM(Z135:AC135)</f>
        <v>0</v>
      </c>
      <c r="AE135" s="506">
        <v>0</v>
      </c>
      <c r="AF135" s="506">
        <v>0</v>
      </c>
      <c r="AG135" s="506">
        <v>0</v>
      </c>
    </row>
    <row r="136" ht="14.25" customHeight="1" spans="1:33" x14ac:dyDescent="0.25" outlineLevel="1" collapsed="1">
      <c r="C136" s="130" t="str">
        <f>C$94</f>
        <v>Asia Pacific</v>
      </c>
      <c r="D136" s="8"/>
      <c r="E136" s="8"/>
      <c r="F136" s="497">
        <v>0</v>
      </c>
      <c r="G136" s="497">
        <v>0</v>
      </c>
      <c r="H136" s="497">
        <v>0</v>
      </c>
      <c r="I136" s="497">
        <v>0</v>
      </c>
      <c r="J136" s="498">
        <f>SUM(F136:I136)</f>
        <v>0</v>
      </c>
      <c r="K136" s="497">
        <v>0</v>
      </c>
      <c r="L136" s="497">
        <v>0</v>
      </c>
      <c r="M136" s="497">
        <v>0</v>
      </c>
      <c r="N136" s="497">
        <v>0</v>
      </c>
      <c r="O136" s="498">
        <f>SUM(K136:N136)</f>
        <v>0</v>
      </c>
      <c r="P136" s="497">
        <v>0</v>
      </c>
      <c r="Q136" s="497">
        <v>0</v>
      </c>
      <c r="R136" s="497">
        <v>0</v>
      </c>
      <c r="S136" s="497">
        <v>0</v>
      </c>
      <c r="T136" s="498">
        <f>SUM(P136:S136)</f>
        <v>0</v>
      </c>
      <c r="U136" s="505">
        <v>0</v>
      </c>
      <c r="V136" s="505">
        <v>0</v>
      </c>
      <c r="W136" s="505">
        <v>0</v>
      </c>
      <c r="X136" s="505">
        <v>0</v>
      </c>
      <c r="Y136" s="498">
        <f>SUM(U136:X136)</f>
        <v>0</v>
      </c>
      <c r="Z136" s="505">
        <v>0</v>
      </c>
      <c r="AA136" s="505">
        <v>0</v>
      </c>
      <c r="AB136" s="505">
        <v>0</v>
      </c>
      <c r="AC136" s="505">
        <v>0</v>
      </c>
      <c r="AD136" s="498">
        <f>SUM(Z136:AC136)</f>
        <v>0</v>
      </c>
      <c r="AE136" s="506">
        <v>0</v>
      </c>
      <c r="AF136" s="506">
        <v>0</v>
      </c>
      <c r="AG136" s="506">
        <v>0</v>
      </c>
    </row>
    <row r="137" ht="14.25" customHeight="1" spans="1:33" x14ac:dyDescent="0.25" outlineLevel="1" collapsed="1">
      <c r="C137" s="8"/>
      <c r="D137" s="8"/>
      <c r="E137" s="8"/>
      <c r="F137" s="532"/>
      <c r="G137" s="532"/>
      <c r="H137" s="532"/>
      <c r="I137" s="532"/>
      <c r="J137" s="160"/>
      <c r="K137" s="532"/>
      <c r="L137" s="532"/>
      <c r="M137" s="532"/>
      <c r="N137" s="532"/>
      <c r="O137" s="160"/>
      <c r="P137" s="532"/>
      <c r="Q137" s="532"/>
      <c r="R137" s="532"/>
      <c r="S137" s="532"/>
      <c r="T137" s="160"/>
      <c r="U137" s="533"/>
      <c r="V137" s="533"/>
      <c r="W137" s="533"/>
      <c r="X137" s="533"/>
      <c r="Y137" s="160"/>
      <c r="Z137" s="533"/>
      <c r="AA137" s="533"/>
      <c r="AB137" s="533"/>
      <c r="AC137" s="533"/>
      <c r="AD137" s="160"/>
      <c r="AE137" s="534"/>
      <c r="AF137" s="534"/>
      <c r="AG137" s="534"/>
    </row>
    <row r="138" ht="14.25" customHeight="1" spans="1:33" x14ac:dyDescent="0.25" outlineLevel="1" collapsed="1">
      <c r="C138" s="8" t="str">
        <f>'Segment Analysis'!C14</f>
        <v>Professional Services and Other Revenue</v>
      </c>
      <c r="D138" s="8"/>
      <c r="E138" s="8"/>
      <c r="F138" s="532"/>
      <c r="G138" s="532"/>
      <c r="H138" s="532"/>
      <c r="I138" s="532"/>
      <c r="J138" s="160"/>
      <c r="K138" s="532"/>
      <c r="L138" s="532"/>
      <c r="M138" s="532"/>
      <c r="N138" s="532"/>
      <c r="O138" s="160"/>
      <c r="P138" s="532"/>
      <c r="Q138" s="532"/>
      <c r="R138" s="532"/>
      <c r="S138" s="532"/>
      <c r="T138" s="160"/>
      <c r="U138" s="533"/>
      <c r="V138" s="533"/>
      <c r="W138" s="533"/>
      <c r="X138" s="533"/>
      <c r="Y138" s="160"/>
      <c r="Z138" s="533"/>
      <c r="AA138" s="533"/>
      <c r="AB138" s="533"/>
      <c r="AC138" s="533"/>
      <c r="AD138" s="160"/>
      <c r="AE138" s="534"/>
      <c r="AF138" s="534"/>
      <c r="AG138" s="534"/>
    </row>
    <row r="139" ht="14.25" customHeight="1" spans="1:33" x14ac:dyDescent="0.25" outlineLevel="1" collapsed="1">
      <c r="C139" s="130" t="str">
        <f>C$90</f>
        <v>North America</v>
      </c>
      <c r="D139" s="8"/>
      <c r="E139" s="8"/>
      <c r="F139" s="497">
        <v>0</v>
      </c>
      <c r="G139" s="497">
        <v>0</v>
      </c>
      <c r="H139" s="497">
        <v>0</v>
      </c>
      <c r="I139" s="497">
        <v>0</v>
      </c>
      <c r="J139" s="498">
        <f>SUM(F139:I139)</f>
        <v>0</v>
      </c>
      <c r="K139" s="497">
        <v>0</v>
      </c>
      <c r="L139" s="497">
        <v>0</v>
      </c>
      <c r="M139" s="497">
        <v>0</v>
      </c>
      <c r="N139" s="497">
        <v>0</v>
      </c>
      <c r="O139" s="498">
        <f>SUM(K139:N139)</f>
        <v>0</v>
      </c>
      <c r="P139" s="497">
        <v>0</v>
      </c>
      <c r="Q139" s="497">
        <v>0</v>
      </c>
      <c r="R139" s="497">
        <v>0</v>
      </c>
      <c r="S139" s="497">
        <v>0</v>
      </c>
      <c r="T139" s="498">
        <f>SUM(P139:S139)</f>
        <v>0</v>
      </c>
      <c r="U139" s="505">
        <v>0</v>
      </c>
      <c r="V139" s="505">
        <v>0</v>
      </c>
      <c r="W139" s="505">
        <v>0</v>
      </c>
      <c r="X139" s="505">
        <v>0</v>
      </c>
      <c r="Y139" s="498">
        <f>SUM(U139:X139)</f>
        <v>0</v>
      </c>
      <c r="Z139" s="505">
        <v>0</v>
      </c>
      <c r="AA139" s="505">
        <v>0</v>
      </c>
      <c r="AB139" s="505">
        <v>0</v>
      </c>
      <c r="AC139" s="505">
        <v>0</v>
      </c>
      <c r="AD139" s="498">
        <f>SUM(Z139:AC139)</f>
        <v>0</v>
      </c>
      <c r="AE139" s="506">
        <v>0</v>
      </c>
      <c r="AF139" s="506">
        <v>0</v>
      </c>
      <c r="AG139" s="506">
        <v>0</v>
      </c>
    </row>
    <row r="140" ht="14.25" customHeight="1" spans="1:33" x14ac:dyDescent="0.25" outlineLevel="1" collapsed="1">
      <c r="C140" s="130" t="str">
        <f>C$91</f>
        <v>Europe</v>
      </c>
      <c r="D140" s="8"/>
      <c r="E140" s="8"/>
      <c r="F140" s="497">
        <v>0</v>
      </c>
      <c r="G140" s="497">
        <v>0</v>
      </c>
      <c r="H140" s="497">
        <v>0</v>
      </c>
      <c r="I140" s="497">
        <v>0</v>
      </c>
      <c r="J140" s="498">
        <f>SUM(F140:I140)</f>
        <v>0</v>
      </c>
      <c r="K140" s="497">
        <v>0</v>
      </c>
      <c r="L140" s="497">
        <v>0</v>
      </c>
      <c r="M140" s="497">
        <v>0</v>
      </c>
      <c r="N140" s="497">
        <v>0</v>
      </c>
      <c r="O140" s="498">
        <f>SUM(K140:N140)</f>
        <v>0</v>
      </c>
      <c r="P140" s="497">
        <v>0</v>
      </c>
      <c r="Q140" s="497">
        <v>0</v>
      </c>
      <c r="R140" s="497">
        <v>0</v>
      </c>
      <c r="S140" s="497">
        <v>0</v>
      </c>
      <c r="T140" s="498">
        <f>SUM(P140:S140)</f>
        <v>0</v>
      </c>
      <c r="U140" s="505">
        <v>0</v>
      </c>
      <c r="V140" s="505">
        <v>0</v>
      </c>
      <c r="W140" s="505">
        <v>0</v>
      </c>
      <c r="X140" s="505">
        <v>0</v>
      </c>
      <c r="Y140" s="498">
        <f>SUM(U140:X140)</f>
        <v>0</v>
      </c>
      <c r="Z140" s="505">
        <v>0</v>
      </c>
      <c r="AA140" s="505">
        <v>0</v>
      </c>
      <c r="AB140" s="505">
        <v>0</v>
      </c>
      <c r="AC140" s="505">
        <v>0</v>
      </c>
      <c r="AD140" s="498">
        <f>SUM(Z140:AC140)</f>
        <v>0</v>
      </c>
      <c r="AE140" s="506">
        <v>0</v>
      </c>
      <c r="AF140" s="506">
        <v>0</v>
      </c>
      <c r="AG140" s="506">
        <v>0</v>
      </c>
    </row>
    <row r="141" ht="14.25" customHeight="1" spans="1:33" x14ac:dyDescent="0.25" outlineLevel="1" collapsed="1">
      <c r="C141" s="130" t="str">
        <f>C$92</f>
        <v>South America</v>
      </c>
      <c r="D141" s="8"/>
      <c r="E141" s="8"/>
      <c r="F141" s="497">
        <v>0</v>
      </c>
      <c r="G141" s="497">
        <v>0</v>
      </c>
      <c r="H141" s="497">
        <v>0</v>
      </c>
      <c r="I141" s="497">
        <v>0</v>
      </c>
      <c r="J141" s="498">
        <f>SUM(F141:I141)</f>
        <v>0</v>
      </c>
      <c r="K141" s="497">
        <v>0</v>
      </c>
      <c r="L141" s="497">
        <v>0</v>
      </c>
      <c r="M141" s="497">
        <v>0</v>
      </c>
      <c r="N141" s="497">
        <v>0</v>
      </c>
      <c r="O141" s="498">
        <f>SUM(K141:N141)</f>
        <v>0</v>
      </c>
      <c r="P141" s="497">
        <v>0</v>
      </c>
      <c r="Q141" s="497">
        <v>0</v>
      </c>
      <c r="R141" s="497">
        <v>0</v>
      </c>
      <c r="S141" s="497">
        <v>0</v>
      </c>
      <c r="T141" s="498">
        <f>SUM(P141:S141)</f>
        <v>0</v>
      </c>
      <c r="U141" s="505">
        <v>0</v>
      </c>
      <c r="V141" s="505">
        <v>0</v>
      </c>
      <c r="W141" s="505">
        <v>0</v>
      </c>
      <c r="X141" s="505">
        <v>0</v>
      </c>
      <c r="Y141" s="498">
        <f>SUM(U141:X141)</f>
        <v>0</v>
      </c>
      <c r="Z141" s="505">
        <v>0</v>
      </c>
      <c r="AA141" s="505">
        <v>0</v>
      </c>
      <c r="AB141" s="505">
        <v>0</v>
      </c>
      <c r="AC141" s="505">
        <v>0</v>
      </c>
      <c r="AD141" s="498">
        <f>SUM(Z141:AC141)</f>
        <v>0</v>
      </c>
      <c r="AE141" s="506">
        <v>0</v>
      </c>
      <c r="AF141" s="506">
        <v>0</v>
      </c>
      <c r="AG141" s="506">
        <v>0</v>
      </c>
    </row>
    <row r="142" ht="14.25" customHeight="1" spans="1:33" x14ac:dyDescent="0.25" outlineLevel="1" collapsed="1">
      <c r="C142" s="130" t="str">
        <f>C$93</f>
        <v>Middle East &amp; Africa</v>
      </c>
      <c r="D142" s="8"/>
      <c r="E142" s="8"/>
      <c r="F142" s="497">
        <v>0</v>
      </c>
      <c r="G142" s="497">
        <v>0</v>
      </c>
      <c r="H142" s="497">
        <v>0</v>
      </c>
      <c r="I142" s="497">
        <v>0</v>
      </c>
      <c r="J142" s="498">
        <f>SUM(F142:I142)</f>
        <v>0</v>
      </c>
      <c r="K142" s="497">
        <v>0</v>
      </c>
      <c r="L142" s="497">
        <v>0</v>
      </c>
      <c r="M142" s="497">
        <v>0</v>
      </c>
      <c r="N142" s="497">
        <v>0</v>
      </c>
      <c r="O142" s="498">
        <f>SUM(K142:N142)</f>
        <v>0</v>
      </c>
      <c r="P142" s="497">
        <v>0</v>
      </c>
      <c r="Q142" s="497">
        <v>0</v>
      </c>
      <c r="R142" s="497">
        <v>0</v>
      </c>
      <c r="S142" s="497">
        <v>0</v>
      </c>
      <c r="T142" s="498">
        <f>SUM(P142:S142)</f>
        <v>0</v>
      </c>
      <c r="U142" s="505">
        <v>0</v>
      </c>
      <c r="V142" s="505">
        <v>0</v>
      </c>
      <c r="W142" s="505">
        <v>0</v>
      </c>
      <c r="X142" s="505">
        <v>0</v>
      </c>
      <c r="Y142" s="498">
        <f>SUM(U142:X142)</f>
        <v>0</v>
      </c>
      <c r="Z142" s="505">
        <v>0</v>
      </c>
      <c r="AA142" s="505">
        <v>0</v>
      </c>
      <c r="AB142" s="505">
        <v>0</v>
      </c>
      <c r="AC142" s="505">
        <v>0</v>
      </c>
      <c r="AD142" s="498">
        <f>SUM(Z142:AC142)</f>
        <v>0</v>
      </c>
      <c r="AE142" s="506">
        <v>0</v>
      </c>
      <c r="AF142" s="506">
        <v>0</v>
      </c>
      <c r="AG142" s="506">
        <v>0</v>
      </c>
    </row>
    <row r="143" ht="14.25" customHeight="1" spans="1:33" x14ac:dyDescent="0.25" outlineLevel="1" collapsed="1">
      <c r="C143" s="130" t="str">
        <f>C$94</f>
        <v>Asia Pacific</v>
      </c>
      <c r="D143" s="8"/>
      <c r="E143" s="8"/>
      <c r="F143" s="497">
        <v>0</v>
      </c>
      <c r="G143" s="497">
        <v>0</v>
      </c>
      <c r="H143" s="497">
        <v>0</v>
      </c>
      <c r="I143" s="497">
        <v>0</v>
      </c>
      <c r="J143" s="498">
        <f>SUM(F143:I143)</f>
        <v>0</v>
      </c>
      <c r="K143" s="497">
        <v>0</v>
      </c>
      <c r="L143" s="497">
        <v>0</v>
      </c>
      <c r="M143" s="497">
        <v>0</v>
      </c>
      <c r="N143" s="497">
        <v>0</v>
      </c>
      <c r="O143" s="498">
        <f>SUM(K143:N143)</f>
        <v>0</v>
      </c>
      <c r="P143" s="497">
        <v>0</v>
      </c>
      <c r="Q143" s="497">
        <v>0</v>
      </c>
      <c r="R143" s="497">
        <v>0</v>
      </c>
      <c r="S143" s="497">
        <v>0</v>
      </c>
      <c r="T143" s="498">
        <f>SUM(P143:S143)</f>
        <v>0</v>
      </c>
      <c r="U143" s="505">
        <v>0</v>
      </c>
      <c r="V143" s="505">
        <v>0</v>
      </c>
      <c r="W143" s="505">
        <v>0</v>
      </c>
      <c r="X143" s="505">
        <v>0</v>
      </c>
      <c r="Y143" s="498">
        <f>SUM(U143:X143)</f>
        <v>0</v>
      </c>
      <c r="Z143" s="505">
        <v>0</v>
      </c>
      <c r="AA143" s="505">
        <v>0</v>
      </c>
      <c r="AB143" s="505">
        <v>0</v>
      </c>
      <c r="AC143" s="505">
        <v>0</v>
      </c>
      <c r="AD143" s="498">
        <f>SUM(Z143:AC143)</f>
        <v>0</v>
      </c>
      <c r="AE143" s="506">
        <v>0</v>
      </c>
      <c r="AF143" s="506">
        <v>0</v>
      </c>
      <c r="AG143" s="506">
        <v>0</v>
      </c>
    </row>
    <row r="144" ht="14.25" customHeight="1" hidden="1" spans="1:33" x14ac:dyDescent="0.25">
      <c r="C144" s="8"/>
      <c r="D144" s="8"/>
      <c r="E144" s="8"/>
      <c r="F144" s="532"/>
      <c r="G144" s="532"/>
      <c r="H144" s="532"/>
      <c r="I144" s="532"/>
      <c r="J144" s="160"/>
      <c r="K144" s="532"/>
      <c r="L144" s="532"/>
      <c r="M144" s="532"/>
      <c r="N144" s="532"/>
      <c r="O144" s="160"/>
      <c r="P144" s="532"/>
      <c r="Q144" s="532"/>
      <c r="R144" s="532"/>
      <c r="S144" s="532"/>
      <c r="T144" s="160"/>
      <c r="U144" s="533"/>
      <c r="V144" s="533"/>
      <c r="W144" s="533"/>
      <c r="X144" s="533"/>
      <c r="Y144" s="160"/>
      <c r="Z144" s="533"/>
      <c r="AA144" s="533"/>
      <c r="AB144" s="533"/>
      <c r="AC144" s="533"/>
      <c r="AD144" s="160"/>
      <c r="AE144" s="534"/>
      <c r="AF144" s="534"/>
      <c r="AG144" s="534"/>
    </row>
    <row r="145" ht="14.25" customHeight="1" spans="1:33" x14ac:dyDescent="0.25">
      <c r="C145" s="36" t="s">
        <v>474</v>
      </c>
      <c r="D145" s="37"/>
      <c r="E145" s="37"/>
      <c r="F145" s="524"/>
      <c r="G145" s="524"/>
      <c r="H145" s="524"/>
      <c r="I145" s="524"/>
      <c r="J145" s="524"/>
      <c r="K145" s="524"/>
      <c r="L145" s="524"/>
      <c r="M145" s="524"/>
      <c r="N145" s="524"/>
      <c r="O145" s="524"/>
      <c r="P145" s="524"/>
      <c r="Q145" s="524"/>
      <c r="R145" s="524"/>
      <c r="S145" s="524"/>
      <c r="T145" s="524"/>
      <c r="U145" s="524"/>
      <c r="V145" s="524"/>
      <c r="W145" s="524"/>
      <c r="X145" s="524"/>
      <c r="Y145" s="524"/>
      <c r="Z145" s="524"/>
      <c r="AA145" s="524"/>
      <c r="AB145" s="524"/>
      <c r="AC145" s="524"/>
      <c r="AD145" s="524"/>
      <c r="AE145" s="524"/>
      <c r="AF145" s="524"/>
      <c r="AG145" s="525"/>
    </row>
    <row r="146" ht="14.25" customHeight="1" spans="1:33" x14ac:dyDescent="0.25">
      <c r="C146" s="8"/>
      <c r="D146" s="8"/>
      <c r="E146" s="8"/>
      <c r="F146" s="312"/>
      <c r="G146" s="312"/>
      <c r="H146" s="312"/>
      <c r="I146" s="312"/>
      <c r="J146" s="160"/>
      <c r="K146" s="312"/>
      <c r="L146" s="312"/>
      <c r="M146" s="312"/>
      <c r="N146" s="312"/>
      <c r="O146" s="160"/>
      <c r="P146" s="312"/>
      <c r="Q146" s="312"/>
      <c r="R146" s="312"/>
      <c r="S146" s="312"/>
      <c r="T146" s="160"/>
      <c r="U146" s="315"/>
      <c r="V146" s="315"/>
      <c r="W146" s="315"/>
      <c r="X146" s="315"/>
      <c r="Y146" s="160"/>
      <c r="Z146" s="315"/>
      <c r="AA146" s="315"/>
      <c r="AB146" s="315"/>
      <c r="AC146" s="315"/>
      <c r="AD146" s="160"/>
      <c r="AE146" s="160"/>
      <c r="AF146" s="160"/>
      <c r="AG146" s="160"/>
    </row>
    <row r="147" ht="14.25" customHeight="1" spans="1:33" x14ac:dyDescent="0.25" outlineLevel="1" collapsed="1">
      <c r="C147" s="8" t="s">
        <v>110</v>
      </c>
      <c r="D147" s="8"/>
      <c r="E147" s="8"/>
      <c r="F147" s="394">
        <f>IFERROR(Model!F61/Model!F28,"N/A")</f>
        <v>1</v>
      </c>
      <c r="G147" s="394">
        <f>IFERROR(Model!G61/Model!G28,"N/A")</f>
        <v>1</v>
      </c>
      <c r="H147" s="394">
        <f>IFERROR(Model!H61/Model!H28,"N/A")</f>
        <v>1</v>
      </c>
      <c r="I147" s="394">
        <f>IFERROR(Model!I61/Model!I28,"N/A")</f>
        <v>1</v>
      </c>
      <c r="J147" s="395">
        <f>IFERROR(Model!J61/Model!J28,"N/A")</f>
        <v>1</v>
      </c>
      <c r="K147" s="394">
        <f>IFERROR(Model!K61/Model!K28,"N/A")</f>
        <v>1</v>
      </c>
      <c r="L147" s="394">
        <f>IFERROR(Model!L61/Model!L28,"N/A")</f>
        <v>1</v>
      </c>
      <c r="M147" s="394">
        <f>IFERROR(Model!M61/Model!M28,"N/A")</f>
        <v>1</v>
      </c>
      <c r="N147" s="394">
        <f>IFERROR(Model!N61/Model!N28,"N/A")</f>
        <v>1</v>
      </c>
      <c r="O147" s="395">
        <f>IFERROR(Model!O61/Model!O28,"N/A")</f>
        <v>1</v>
      </c>
      <c r="P147" s="394">
        <f>IFERROR(Model!P61/Model!P28,"N/A")</f>
        <v>1</v>
      </c>
      <c r="Q147" s="394">
        <f>IFERROR(Model!Q61/Model!Q28,"N/A")</f>
        <v>1</v>
      </c>
      <c r="R147" s="394">
        <f>IFERROR(Model!R61/Model!R28,"N/A")</f>
        <v>1</v>
      </c>
      <c r="S147" s="394">
        <f>IFERROR(Model!S61/Model!S28,"N/A")</f>
        <v>1</v>
      </c>
      <c r="T147" s="395">
        <f>IFERROR(Model!T61/Model!T28,"N/A")</f>
        <v>1</v>
      </c>
      <c r="U147" s="396">
        <f>IFERROR(Model!U61/Model!U28,"N/A")</f>
        <v>1</v>
      </c>
      <c r="V147" s="396">
        <f>IFERROR(Model!V61/Model!V28,"N/A")</f>
        <v>1</v>
      </c>
      <c r="W147" s="396">
        <f>IFERROR(Model!W61/Model!W28,"N/A")</f>
        <v>1</v>
      </c>
      <c r="X147" s="396">
        <v>0.31699999999999995</v>
      </c>
      <c r="Y147" s="395">
        <f>IFERROR(Model!Y61/Model!Y28,"N/A")</f>
        <v>0.3278122132398317</v>
      </c>
      <c r="Z147" s="396">
        <f>IFERROR(Model!Z61/Model!Z28,"N/A")</f>
        <v>0.3149999999999999</v>
      </c>
      <c r="AA147" s="396">
        <f>IFERROR(Model!AA61/Model!AA28,"N/A")</f>
        <v>0.318</v>
      </c>
      <c r="AB147" s="396">
        <f>IFERROR(Model!AB61/Model!AB28,"N/A")</f>
        <v>0.321</v>
      </c>
      <c r="AC147" s="396">
        <f>IFERROR(Model!AC61/Model!AC28,"N/A")</f>
        <v>0.31799999999999995</v>
      </c>
      <c r="AD147" s="395">
        <f>IFERROR(Model!AD61/Model!AD28,"N/A")</f>
        <v>0.31803578757079776</v>
      </c>
      <c r="AE147" s="395">
        <f>IFERROR(Model!AE61/Model!AE28,"N/A")</f>
        <v>0.324</v>
      </c>
      <c r="AF147" s="395">
        <f>IFERROR(Model!AF61/Model!AF28,"N/A")</f>
        <v>0.32199999999999995</v>
      </c>
      <c r="AG147" s="395">
        <f>IFERROR(Model!AG61/Model!AG28,"N/A")</f>
        <v>0.32299999999999984</v>
      </c>
    </row>
    <row r="148" ht="14.25" customHeight="1" spans="1:33" x14ac:dyDescent="0.25" outlineLevel="1" collapsed="1">
      <c r="C148" s="8" t="str">
        <f t="shared" ref="C148:C153" si="104">C17</f>
        <v>Collection</v>
      </c>
      <c r="D148" s="8"/>
      <c r="E148" s="8"/>
      <c r="F148" s="394"/>
      <c r="G148" s="394"/>
      <c r="H148" s="394"/>
      <c r="I148" s="394"/>
      <c r="J148" s="395"/>
      <c r="K148" s="394"/>
      <c r="L148" s="394"/>
      <c r="M148" s="394"/>
      <c r="N148" s="394"/>
      <c r="O148" s="395"/>
      <c r="P148" s="394"/>
      <c r="Q148" s="394"/>
      <c r="R148" s="394"/>
      <c r="S148" s="394"/>
      <c r="T148" s="395"/>
      <c r="U148" s="396"/>
      <c r="V148" s="396"/>
      <c r="W148" s="396"/>
      <c r="X148" s="396"/>
      <c r="Y148" s="395"/>
      <c r="Z148" s="396"/>
      <c r="AA148" s="396"/>
      <c r="AB148" s="396"/>
      <c r="AC148" s="396"/>
      <c r="AD148" s="395"/>
      <c r="AE148" s="395"/>
      <c r="AF148" s="395"/>
      <c r="AG148" s="395"/>
    </row>
    <row r="149" ht="14.25" customHeight="1" spans="1:33" x14ac:dyDescent="0.25" outlineLevel="1" collapsed="1">
      <c r="C149" s="8" t="str">
        <f t="shared" si="104"/>
        <v>Landfill</v>
      </c>
      <c r="D149" s="8"/>
      <c r="E149" s="8"/>
      <c r="F149" s="394"/>
      <c r="G149" s="394"/>
      <c r="H149" s="394"/>
      <c r="I149" s="394"/>
      <c r="J149" s="395"/>
      <c r="K149" s="394"/>
      <c r="L149" s="394"/>
      <c r="M149" s="394"/>
      <c r="N149" s="394"/>
      <c r="O149" s="395"/>
      <c r="P149" s="394"/>
      <c r="Q149" s="394"/>
      <c r="R149" s="394"/>
      <c r="S149" s="394"/>
      <c r="T149" s="395"/>
      <c r="U149" s="396"/>
      <c r="V149" s="396"/>
      <c r="W149" s="396"/>
      <c r="X149" s="396"/>
      <c r="Y149" s="395"/>
      <c r="Z149" s="396"/>
      <c r="AA149" s="396"/>
      <c r="AB149" s="396"/>
      <c r="AC149" s="396"/>
      <c r="AD149" s="395"/>
      <c r="AE149" s="395"/>
      <c r="AF149" s="395"/>
      <c r="AG149" s="395"/>
    </row>
    <row r="150" ht="14.25" customHeight="1" spans="1:33" x14ac:dyDescent="0.25" outlineLevel="1" collapsed="1">
      <c r="C150" s="8" t="str">
        <f t="shared" si="104"/>
        <v>Environmental solutions</v>
      </c>
      <c r="D150" s="8"/>
      <c r="E150" s="8"/>
      <c r="F150" s="394"/>
      <c r="G150" s="394"/>
      <c r="H150" s="394"/>
      <c r="I150" s="394"/>
      <c r="J150" s="395"/>
      <c r="K150" s="394"/>
      <c r="L150" s="394"/>
      <c r="M150" s="394"/>
      <c r="N150" s="394"/>
      <c r="O150" s="395"/>
      <c r="P150" s="394"/>
      <c r="Q150" s="394"/>
      <c r="R150" s="394"/>
      <c r="S150" s="394"/>
      <c r="T150" s="395"/>
      <c r="U150" s="396"/>
      <c r="V150" s="396"/>
      <c r="W150" s="396"/>
      <c r="X150" s="396"/>
      <c r="Y150" s="395"/>
      <c r="Z150" s="396"/>
      <c r="AA150" s="396"/>
      <c r="AB150" s="396"/>
      <c r="AC150" s="396"/>
      <c r="AD150" s="395"/>
      <c r="AE150" s="395"/>
      <c r="AF150" s="395"/>
      <c r="AG150" s="395"/>
    </row>
    <row r="151" ht="14.25" customHeight="1" spans="1:33" x14ac:dyDescent="0.25" outlineLevel="1" collapsed="1">
      <c r="C151" s="8" t="str">
        <f t="shared" si="104"/>
        <v>Transfer</v>
      </c>
      <c r="D151" s="8"/>
      <c r="E151" s="8"/>
      <c r="F151" s="394"/>
      <c r="G151" s="394"/>
      <c r="H151" s="394"/>
      <c r="I151" s="394"/>
      <c r="J151" s="395"/>
      <c r="K151" s="394"/>
      <c r="L151" s="394"/>
      <c r="M151" s="394"/>
      <c r="N151" s="394"/>
      <c r="O151" s="395"/>
      <c r="P151" s="394"/>
      <c r="Q151" s="394"/>
      <c r="R151" s="394"/>
      <c r="S151" s="394"/>
      <c r="T151" s="395"/>
      <c r="U151" s="396"/>
      <c r="V151" s="396"/>
      <c r="W151" s="396"/>
      <c r="X151" s="396"/>
      <c r="Y151" s="395"/>
      <c r="Z151" s="396"/>
      <c r="AA151" s="396"/>
      <c r="AB151" s="396"/>
      <c r="AC151" s="396"/>
      <c r="AD151" s="395"/>
      <c r="AE151" s="395"/>
      <c r="AF151" s="395"/>
      <c r="AG151" s="395"/>
    </row>
    <row r="152" ht="14.25" customHeight="1" spans="1:33" x14ac:dyDescent="0.25" outlineLevel="1" collapsed="1">
      <c r="C152" s="8" t="str">
        <f t="shared" si="104"/>
        <v>Other</v>
      </c>
      <c r="D152" s="8"/>
      <c r="E152" s="8"/>
      <c r="F152" s="394"/>
      <c r="G152" s="394"/>
      <c r="H152" s="394"/>
      <c r="I152" s="394"/>
      <c r="J152" s="395"/>
      <c r="K152" s="394"/>
      <c r="L152" s="394"/>
      <c r="M152" s="394"/>
      <c r="N152" s="394"/>
      <c r="O152" s="395"/>
      <c r="P152" s="394"/>
      <c r="Q152" s="394"/>
      <c r="R152" s="394"/>
      <c r="S152" s="394"/>
      <c r="T152" s="395"/>
      <c r="U152" s="396"/>
      <c r="V152" s="396"/>
      <c r="W152" s="396"/>
      <c r="X152" s="396"/>
      <c r="Y152" s="395"/>
      <c r="Z152" s="396"/>
      <c r="AA152" s="396"/>
      <c r="AB152" s="396"/>
      <c r="AC152" s="396"/>
      <c r="AD152" s="395"/>
      <c r="AE152" s="395"/>
      <c r="AF152" s="395"/>
      <c r="AG152" s="395"/>
    </row>
    <row r="153" ht="14.25" customHeight="1" spans="1:33" x14ac:dyDescent="0.25" outlineLevel="1" collapsed="1">
      <c r="C153" s="8" t="str">
        <f t="shared" si="104"/>
        <v>Professional Services and Other</v>
      </c>
      <c r="D153" s="8"/>
      <c r="E153" s="8"/>
      <c r="F153" s="312"/>
      <c r="G153" s="312"/>
      <c r="H153" s="312"/>
      <c r="I153" s="312"/>
      <c r="J153" s="160"/>
      <c r="K153" s="312"/>
      <c r="L153" s="312"/>
      <c r="M153" s="312"/>
      <c r="N153" s="312"/>
      <c r="O153" s="160"/>
      <c r="P153" s="312"/>
      <c r="Q153" s="312"/>
      <c r="R153" s="312"/>
      <c r="S153" s="312"/>
      <c r="T153" s="160"/>
      <c r="U153" s="315"/>
      <c r="V153" s="315"/>
      <c r="W153" s="315"/>
      <c r="X153" s="315"/>
      <c r="Y153" s="160"/>
      <c r="Z153" s="315"/>
      <c r="AA153" s="315"/>
      <c r="AB153" s="315"/>
      <c r="AC153" s="315"/>
      <c r="AD153" s="160"/>
      <c r="AE153" s="160"/>
      <c r="AF153" s="160"/>
      <c r="AG153" s="160"/>
    </row>
    <row r="154" ht="14.25" customHeight="1" spans="1:33" x14ac:dyDescent="0.25">
      <c r="C154" s="8"/>
      <c r="D154" s="8"/>
      <c r="E154" s="8"/>
      <c r="F154" s="312"/>
      <c r="G154" s="312"/>
      <c r="H154" s="312"/>
      <c r="I154" s="312"/>
      <c r="J154" s="160"/>
      <c r="K154" s="312"/>
      <c r="L154" s="312"/>
      <c r="M154" s="312"/>
      <c r="N154" s="312"/>
      <c r="O154" s="160"/>
      <c r="P154" s="312"/>
      <c r="Q154" s="312"/>
      <c r="R154" s="312"/>
      <c r="S154" s="312"/>
      <c r="T154" s="160"/>
      <c r="U154" s="315"/>
      <c r="V154" s="315"/>
      <c r="W154" s="315"/>
      <c r="X154" s="315"/>
      <c r="Y154" s="160"/>
      <c r="Z154" s="315"/>
      <c r="AA154" s="315"/>
      <c r="AB154" s="315"/>
      <c r="AC154" s="315"/>
      <c r="AD154" s="160"/>
      <c r="AE154" s="160"/>
      <c r="AF154" s="160"/>
      <c r="AG154" s="160"/>
    </row>
    <row r="155" ht="14.25" customHeight="1" spans="1:33" x14ac:dyDescent="0.25">
      <c r="C155" s="8" t="s">
        <v>111</v>
      </c>
      <c r="D155" s="8"/>
      <c r="E155" s="8"/>
      <c r="F155" s="394">
        <f>IFERROR(Model!F36/Model!F28,"N/A")</f>
        <v>1</v>
      </c>
      <c r="G155" s="394">
        <f>IFERROR(Model!G36/Model!G28,"N/A")</f>
        <v>1</v>
      </c>
      <c r="H155" s="394">
        <f>IFERROR(Model!H36/Model!H28,"N/A")</f>
        <v>1</v>
      </c>
      <c r="I155" s="394">
        <f>IFERROR(Model!I36/Model!I28,"N/A")</f>
        <v>1</v>
      </c>
      <c r="J155" s="395">
        <f>IFERROR(Model!J36/Model!J28,"N/A")</f>
        <v>1</v>
      </c>
      <c r="K155" s="394">
        <f>IFERROR(Model!K36/Model!K28,"N/A")</f>
        <v>1</v>
      </c>
      <c r="L155" s="394">
        <f>IFERROR(Model!L36/Model!L28,"N/A")</f>
        <v>1</v>
      </c>
      <c r="M155" s="394">
        <f>IFERROR(Model!M36/Model!M28,"N/A")</f>
        <v>1</v>
      </c>
      <c r="N155" s="394">
        <f>IFERROR(Model!N36/Model!N28,"N/A")</f>
        <v>1</v>
      </c>
      <c r="O155" s="395">
        <f>IFERROR(Model!O36/Model!O28,"N/A")</f>
        <v>1</v>
      </c>
      <c r="P155" s="394">
        <f>IFERROR(Model!P36/Model!P28,"N/A")</f>
        <v>1</v>
      </c>
      <c r="Q155" s="394">
        <f>IFERROR(Model!Q36/Model!Q28,"N/A")</f>
        <v>1</v>
      </c>
      <c r="R155" s="394">
        <f>IFERROR(Model!R36/Model!R28,"N/A")</f>
        <v>1</v>
      </c>
      <c r="S155" s="394">
        <f>IFERROR(Model!S36/Model!S28,"N/A")</f>
        <v>1</v>
      </c>
      <c r="T155" s="395">
        <f>IFERROR(Model!T36/Model!T28,"N/A")</f>
        <v>1</v>
      </c>
      <c r="U155" s="396">
        <f>IFERROR(Model!U36/Model!U28,"N/A")</f>
        <v>1</v>
      </c>
      <c r="V155" s="396">
        <f>IFERROR(Model!V36/Model!V28,"N/A")</f>
        <v>1</v>
      </c>
      <c r="W155" s="396">
        <f>IFERROR(Model!W36/Model!W28,"N/A")</f>
        <v>1</v>
      </c>
      <c r="X155" s="396">
        <v>0.20323905720693122</v>
      </c>
      <c r="Y155" s="395">
        <f>IFERROR(Model!Y36/Model!Y28,"N/A")</f>
        <v>0.22101088042289901</v>
      </c>
      <c r="Z155" s="396">
        <f>IFERROR(Model!Z36/Model!Z28,"N/A")</f>
        <v>0.2036594875022987</v>
      </c>
      <c r="AA155" s="396">
        <f>IFERROR(Model!AA36/Model!AA28,"N/A")</f>
        <v>0.21220993678667618</v>
      </c>
      <c r="AB155" s="396">
        <f>IFERROR(Model!AB36/Model!AB28,"N/A")</f>
        <v>0.2146043694575129</v>
      </c>
      <c r="AC155" s="396">
        <f>IFERROR(Model!AC36/Model!AC28,"N/A")</f>
        <v>0.21015955184731944</v>
      </c>
      <c r="AD155" s="395">
        <f>IFERROR(Model!AD36/Model!AD28,"N/A")</f>
        <v>0.21023806148172267</v>
      </c>
      <c r="AE155" s="395">
        <f>IFERROR(Model!AE36/Model!AE28,"N/A")</f>
        <v>0.2194994476133936</v>
      </c>
      <c r="AF155" s="395">
        <f>IFERROR(Model!AF36/Model!AF28,"N/A")</f>
        <v>0.2171221679664297</v>
      </c>
      <c r="AG155" s="395">
        <f>IFERROR(Model!AG36/Model!AG28,"N/A")</f>
        <v>0.2178772265818916</v>
      </c>
    </row>
    <row r="156" ht="14.25" customHeight="1" spans="1:33" x14ac:dyDescent="0.25" outlineLevel="1" collapsed="1">
      <c r="C156" s="8" t="str">
        <f t="shared" ref="C156:C161" si="105">C17</f>
        <v>Collection</v>
      </c>
      <c r="D156" s="8"/>
      <c r="E156" s="8"/>
      <c r="F156" s="394">
        <f t="shared" ref="F156:I161" si="106">IFERROR(F35/F9,"N/A")</f>
        <v>0.261999674585096</v>
      </c>
      <c r="G156" s="394">
        <f t="shared" si="106"/>
        <v>0.33857648446716476</v>
      </c>
      <c r="H156" s="394">
        <f t="shared" si="106"/>
        <v>0.27815784444869096</v>
      </c>
      <c r="I156" s="394">
        <f t="shared" si="106"/>
        <v>0.266034155597723</v>
      </c>
      <c r="J156" s="395">
        <f t="shared" ref="J156:AG156" si="107">IFERROR(J35/J9,"N/A")</f>
        <v>0.2861531859278838</v>
      </c>
      <c r="K156" s="394">
        <f>IFERROR(K35/K8,"N/A")</f>
        <v>0.18976098609420716</v>
      </c>
      <c r="L156" s="394">
        <f t="shared" ref="L156:N161" si="108">IFERROR(L35/L9,"N/A")</f>
        <v>0.29888350227706767</v>
      </c>
      <c r="M156" s="394">
        <f t="shared" si="108"/>
        <v>0.30851995039754904</v>
      </c>
      <c r="N156" s="394">
        <f t="shared" si="108"/>
        <v>0.29435483870967744</v>
      </c>
      <c r="O156" s="395">
        <f t="shared" si="107"/>
        <v>0.2943696224920316</v>
      </c>
      <c r="P156" s="394">
        <f t="shared" ref="P156:S161" si="109">IFERROR(P35/P9,"N/A")</f>
        <v>0.2931097338680277</v>
      </c>
      <c r="Q156" s="394">
        <f t="shared" si="109"/>
        <v>0.3051027639971651</v>
      </c>
      <c r="R156" s="394">
        <f t="shared" si="109"/>
        <v>0.2948853615520282</v>
      </c>
      <c r="S156" s="394">
        <f t="shared" si="109"/>
        <v>0.2823861630780092</v>
      </c>
      <c r="T156" s="395">
        <f t="shared" si="107"/>
        <v>0.2938662868334372</v>
      </c>
      <c r="U156" s="396">
        <f t="shared" ref="U156:W161" si="110">IFERROR(U35/U9,"N/A")</f>
        <v>0.42300000000000004</v>
      </c>
      <c r="V156" s="396">
        <f t="shared" si="110"/>
        <v>0.42399999999999993</v>
      </c>
      <c r="W156" s="396">
        <f t="shared" si="110"/>
        <v>0.424</v>
      </c>
      <c r="X156" s="396">
        <v>0.42700000000000005</v>
      </c>
      <c r="Y156" s="395">
        <f t="shared" si="107"/>
        <v>0.4245313052005995</v>
      </c>
      <c r="Z156" s="396">
        <f t="shared" si="107"/>
        <v>0.428</v>
      </c>
      <c r="AA156" s="396">
        <f t="shared" si="107"/>
        <v>0.42499999999999993</v>
      </c>
      <c r="AB156" s="396">
        <f t="shared" si="107"/>
        <v>0.42799999999999994</v>
      </c>
      <c r="AC156" s="396">
        <f t="shared" si="107"/>
        <v>0.42800000000000005</v>
      </c>
      <c r="AD156" s="395">
        <f t="shared" si="107"/>
        <v>0.42724742794254467</v>
      </c>
      <c r="AE156" s="395">
        <f t="shared" si="107"/>
        <v>0.431</v>
      </c>
      <c r="AF156" s="395">
        <f t="shared" si="107"/>
        <v>0.428</v>
      </c>
      <c r="AG156" s="395">
        <f t="shared" si="107"/>
        <v>0.428</v>
      </c>
    </row>
    <row r="157" ht="14.25" customHeight="1" spans="1:33" x14ac:dyDescent="0.25" outlineLevel="1" collapsed="1">
      <c r="C157" s="8" t="str">
        <f t="shared" si="105"/>
        <v>Landfill</v>
      </c>
      <c r="D157" s="8"/>
      <c r="E157" s="8"/>
      <c r="F157" s="394">
        <f t="shared" si="106"/>
        <v>0</v>
      </c>
      <c r="G157" s="394">
        <f t="shared" si="106"/>
        <v>0</v>
      </c>
      <c r="H157" s="394">
        <f t="shared" si="106"/>
        <v>0</v>
      </c>
      <c r="I157" s="394">
        <f t="shared" si="106"/>
        <v>0</v>
      </c>
      <c r="J157" s="395">
        <f t="shared" ref="J157:AG157" si="111">IFERROR(J36/J10,"N/A")</f>
        <v>0</v>
      </c>
      <c r="K157" s="394">
        <f>IFERROR(K36/K10,"N/A")</f>
        <v>0</v>
      </c>
      <c r="L157" s="394">
        <f t="shared" si="108"/>
        <v>0</v>
      </c>
      <c r="M157" s="394">
        <f t="shared" si="108"/>
        <v>0</v>
      </c>
      <c r="N157" s="394">
        <f t="shared" si="108"/>
        <v>0</v>
      </c>
      <c r="O157" s="395">
        <f t="shared" si="111"/>
        <v>0</v>
      </c>
      <c r="P157" s="394">
        <f t="shared" ref="P157:Q161" si="112">IFERROR(P36/P10,"N/A")</f>
        <v>0</v>
      </c>
      <c r="Q157" s="394">
        <f t="shared" si="112"/>
        <v>0</v>
      </c>
      <c r="R157" s="394">
        <f t="shared" si="109"/>
        <v>0</v>
      </c>
      <c r="S157" s="394">
        <f t="shared" si="109"/>
        <v>0</v>
      </c>
      <c r="T157" s="395">
        <f t="shared" si="111"/>
        <v>0</v>
      </c>
      <c r="U157" s="396">
        <f t="shared" si="110"/>
        <v>0</v>
      </c>
      <c r="V157" s="396">
        <f t="shared" si="110"/>
        <v>0</v>
      </c>
      <c r="W157" s="396">
        <f t="shared" si="110"/>
        <v>0</v>
      </c>
      <c r="X157" s="396">
        <v>0</v>
      </c>
      <c r="Y157" s="395">
        <f t="shared" si="111"/>
        <v>0</v>
      </c>
      <c r="Z157" s="396">
        <f t="shared" si="111"/>
        <v>0</v>
      </c>
      <c r="AA157" s="396">
        <f t="shared" si="111"/>
        <v>0</v>
      </c>
      <c r="AB157" s="396">
        <f t="shared" si="111"/>
        <v>0</v>
      </c>
      <c r="AC157" s="396">
        <f t="shared" si="111"/>
        <v>0</v>
      </c>
      <c r="AD157" s="395">
        <f t="shared" si="111"/>
        <v>0</v>
      </c>
      <c r="AE157" s="395">
        <f t="shared" si="111"/>
        <v>0</v>
      </c>
      <c r="AF157" s="395">
        <f t="shared" si="111"/>
        <v>0</v>
      </c>
      <c r="AG157" s="395">
        <f t="shared" si="111"/>
        <v>0</v>
      </c>
    </row>
    <row r="158" ht="14.25" customHeight="1" spans="1:33" x14ac:dyDescent="0.25" outlineLevel="1" collapsed="1">
      <c r="C158" s="8" t="str">
        <f t="shared" si="105"/>
        <v>Environmental solutions</v>
      </c>
      <c r="D158" s="8"/>
      <c r="E158" s="8"/>
      <c r="F158" s="394">
        <f t="shared" si="106"/>
        <v>0</v>
      </c>
      <c r="G158" s="394">
        <f t="shared" si="106"/>
        <v>0</v>
      </c>
      <c r="H158" s="394">
        <f t="shared" si="106"/>
        <v>0</v>
      </c>
      <c r="I158" s="394">
        <f t="shared" si="106"/>
        <v>0</v>
      </c>
      <c r="J158" s="395">
        <f t="shared" ref="J158:AG158" si="113">IFERROR(J37/J11,"N/A")</f>
        <v>0</v>
      </c>
      <c r="K158" s="394">
        <f>IFERROR(K37/K11,"N/A")</f>
        <v>0</v>
      </c>
      <c r="L158" s="394">
        <f t="shared" si="108"/>
        <v>0</v>
      </c>
      <c r="M158" s="394">
        <f t="shared" si="108"/>
        <v>0</v>
      </c>
      <c r="N158" s="394">
        <f t="shared" si="108"/>
        <v>0</v>
      </c>
      <c r="O158" s="395">
        <f t="shared" si="113"/>
        <v>0</v>
      </c>
      <c r="P158" s="394">
        <f t="shared" si="112"/>
        <v>0</v>
      </c>
      <c r="Q158" s="394">
        <f t="shared" si="112"/>
        <v>0</v>
      </c>
      <c r="R158" s="394">
        <f t="shared" si="109"/>
        <v>0</v>
      </c>
      <c r="S158" s="394">
        <f t="shared" si="109"/>
        <v>0</v>
      </c>
      <c r="T158" s="395">
        <f t="shared" si="113"/>
        <v>0</v>
      </c>
      <c r="U158" s="396">
        <f t="shared" si="110"/>
        <v>0</v>
      </c>
      <c r="V158" s="396">
        <f t="shared" si="110"/>
        <v>0</v>
      </c>
      <c r="W158" s="396">
        <f t="shared" si="110"/>
        <v>0</v>
      </c>
      <c r="X158" s="396">
        <v>0</v>
      </c>
      <c r="Y158" s="395">
        <f t="shared" si="113"/>
        <v>0</v>
      </c>
      <c r="Z158" s="396">
        <f t="shared" si="113"/>
        <v>0</v>
      </c>
      <c r="AA158" s="396">
        <f t="shared" si="113"/>
        <v>0</v>
      </c>
      <c r="AB158" s="396">
        <f t="shared" si="113"/>
        <v>0</v>
      </c>
      <c r="AC158" s="396">
        <f t="shared" si="113"/>
        <v>0</v>
      </c>
      <c r="AD158" s="395">
        <f t="shared" si="113"/>
        <v>0</v>
      </c>
      <c r="AE158" s="395">
        <f t="shared" si="113"/>
        <v>0</v>
      </c>
      <c r="AF158" s="395">
        <f t="shared" si="113"/>
        <v>0</v>
      </c>
      <c r="AG158" s="395">
        <f t="shared" si="113"/>
        <v>0</v>
      </c>
    </row>
    <row r="159" ht="14.25" customHeight="1" spans="1:33" x14ac:dyDescent="0.25" outlineLevel="1" collapsed="1">
      <c r="C159" s="8" t="str">
        <f t="shared" si="105"/>
        <v>Transfer</v>
      </c>
      <c r="D159" s="8"/>
      <c r="E159" s="8"/>
      <c r="F159" s="394">
        <f t="shared" si="106"/>
        <v>0</v>
      </c>
      <c r="G159" s="394">
        <f t="shared" si="106"/>
        <v>0</v>
      </c>
      <c r="H159" s="394">
        <f t="shared" si="106"/>
        <v>0</v>
      </c>
      <c r="I159" s="394">
        <f t="shared" si="106"/>
        <v>0</v>
      </c>
      <c r="J159" s="395">
        <f t="shared" ref="J159:AG159" si="114">IFERROR(J38/J12,"N/A")</f>
        <v>0</v>
      </c>
      <c r="K159" s="394">
        <f>IFERROR(K38/K12,"N/A")</f>
        <v>0</v>
      </c>
      <c r="L159" s="394">
        <f t="shared" si="108"/>
        <v>0</v>
      </c>
      <c r="M159" s="394">
        <f t="shared" si="108"/>
        <v>0</v>
      </c>
      <c r="N159" s="394">
        <f t="shared" si="108"/>
        <v>0</v>
      </c>
      <c r="O159" s="395">
        <f t="shared" si="114"/>
        <v>0</v>
      </c>
      <c r="P159" s="394">
        <f t="shared" si="112"/>
        <v>0</v>
      </c>
      <c r="Q159" s="394">
        <f t="shared" si="112"/>
        <v>0</v>
      </c>
      <c r="R159" s="394">
        <f t="shared" si="109"/>
        <v>0</v>
      </c>
      <c r="S159" s="394">
        <f t="shared" si="109"/>
        <v>0</v>
      </c>
      <c r="T159" s="395">
        <f t="shared" si="114"/>
        <v>0</v>
      </c>
      <c r="U159" s="396">
        <f t="shared" si="110"/>
        <v>0.14</v>
      </c>
      <c r="V159" s="396">
        <f t="shared" si="110"/>
        <v>0.145</v>
      </c>
      <c r="W159" s="396">
        <f t="shared" si="110"/>
        <v>0.12</v>
      </c>
      <c r="X159" s="396">
        <v>0.135</v>
      </c>
      <c r="Y159" s="395">
        <f t="shared" si="114"/>
        <v>0.1347532262809421</v>
      </c>
      <c r="Z159" s="396">
        <f t="shared" si="114"/>
        <v>0.14</v>
      </c>
      <c r="AA159" s="396">
        <f t="shared" si="114"/>
        <v>0.145</v>
      </c>
      <c r="AB159" s="396">
        <f t="shared" si="114"/>
        <v>0.12</v>
      </c>
      <c r="AC159" s="396">
        <f t="shared" si="114"/>
        <v>0.135</v>
      </c>
      <c r="AD159" s="395">
        <f t="shared" si="114"/>
        <v>0.13476884796985902</v>
      </c>
      <c r="AE159" s="395">
        <f t="shared" si="114"/>
        <v>0.139</v>
      </c>
      <c r="AF159" s="395">
        <f t="shared" si="114"/>
        <v>0.14</v>
      </c>
      <c r="AG159" s="395">
        <f t="shared" si="114"/>
        <v>0.142</v>
      </c>
    </row>
    <row r="160" ht="14.25" customHeight="1" spans="1:33" x14ac:dyDescent="0.25" outlineLevel="1" collapsed="1">
      <c r="C160" s="8" t="str">
        <f t="shared" si="105"/>
        <v>Other</v>
      </c>
      <c r="D160" s="8"/>
      <c r="E160" s="8"/>
      <c r="F160" s="394">
        <f t="shared" si="106"/>
        <v>0</v>
      </c>
      <c r="G160" s="394">
        <f t="shared" si="106"/>
        <v>0</v>
      </c>
      <c r="H160" s="394">
        <f t="shared" si="106"/>
        <v>0</v>
      </c>
      <c r="I160" s="394">
        <f t="shared" si="106"/>
        <v>0</v>
      </c>
      <c r="J160" s="395">
        <f t="shared" ref="J160:AG160" si="115">IFERROR(J39/J13,"N/A")</f>
        <v>0</v>
      </c>
      <c r="K160" s="394">
        <f>IFERROR(K39/K13,"N/A")</f>
        <v>0</v>
      </c>
      <c r="L160" s="394">
        <f t="shared" si="108"/>
        <v>0</v>
      </c>
      <c r="M160" s="394">
        <f t="shared" si="108"/>
        <v>0</v>
      </c>
      <c r="N160" s="394">
        <f t="shared" si="108"/>
        <v>0</v>
      </c>
      <c r="O160" s="395">
        <f t="shared" si="115"/>
        <v>0</v>
      </c>
      <c r="P160" s="394">
        <f t="shared" si="112"/>
        <v>0</v>
      </c>
      <c r="Q160" s="394">
        <f t="shared" si="112"/>
        <v>0</v>
      </c>
      <c r="R160" s="394">
        <f t="shared" si="109"/>
        <v>0</v>
      </c>
      <c r="S160" s="394">
        <f t="shared" si="109"/>
        <v>0</v>
      </c>
      <c r="T160" s="395">
        <f t="shared" si="115"/>
        <v>0</v>
      </c>
      <c r="U160" s="396">
        <f t="shared" si="110"/>
        <v>0.14</v>
      </c>
      <c r="V160" s="396">
        <f t="shared" si="110"/>
        <v>0.145</v>
      </c>
      <c r="W160" s="396">
        <f t="shared" si="110"/>
        <v>0.12</v>
      </c>
      <c r="X160" s="396">
        <v>0.135</v>
      </c>
      <c r="Y160" s="395">
        <f t="shared" si="115"/>
        <v>0.13513407851968542</v>
      </c>
      <c r="Z160" s="396">
        <f t="shared" si="115"/>
        <v>0.14</v>
      </c>
      <c r="AA160" s="396">
        <f t="shared" si="115"/>
        <v>0.145</v>
      </c>
      <c r="AB160" s="396">
        <f t="shared" si="115"/>
        <v>0.12</v>
      </c>
      <c r="AC160" s="396">
        <f t="shared" si="115"/>
        <v>0.135</v>
      </c>
      <c r="AD160" s="395">
        <f t="shared" si="115"/>
        <v>0.13512167721694218</v>
      </c>
      <c r="AE160" s="395">
        <f t="shared" si="115"/>
        <v>0.139</v>
      </c>
      <c r="AF160" s="395">
        <f t="shared" si="115"/>
        <v>0.14</v>
      </c>
      <c r="AG160" s="395">
        <f t="shared" si="115"/>
        <v>0.142</v>
      </c>
    </row>
    <row r="161" ht="14.25" customHeight="1" spans="1:33" x14ac:dyDescent="0.25" outlineLevel="1" collapsed="1">
      <c r="C161" s="8" t="str">
        <f t="shared" si="105"/>
        <v>Professional Services and Other</v>
      </c>
      <c r="D161" s="8"/>
      <c r="E161" s="8"/>
      <c r="F161" s="394" t="str">
        <f t="shared" si="106"/>
        <v>N/A</v>
      </c>
      <c r="G161" s="394" t="str">
        <f t="shared" si="106"/>
        <v>N/A</v>
      </c>
      <c r="H161" s="394" t="str">
        <f t="shared" si="106"/>
        <v>N/A</v>
      </c>
      <c r="I161" s="394" t="str">
        <f t="shared" si="106"/>
        <v>N/A</v>
      </c>
      <c r="J161" s="395" t="str">
        <f t="shared" ref="J161:AG161" si="116">IFERROR(J40/J14,"N/A")</f>
        <v>N/A</v>
      </c>
      <c r="K161" s="394" t="str">
        <f>IFERROR(K40/K14,"N/A")</f>
        <v>N/A</v>
      </c>
      <c r="L161" s="394" t="str">
        <f t="shared" si="108"/>
        <v>N/A</v>
      </c>
      <c r="M161" s="394" t="str">
        <f t="shared" si="108"/>
        <v>N/A</v>
      </c>
      <c r="N161" s="394" t="str">
        <f t="shared" si="108"/>
        <v>N/A</v>
      </c>
      <c r="O161" s="395" t="str">
        <f t="shared" si="116"/>
        <v>N/A</v>
      </c>
      <c r="P161" s="394" t="str">
        <f t="shared" si="112"/>
        <v>N/A</v>
      </c>
      <c r="Q161" s="394" t="str">
        <f t="shared" si="112"/>
        <v>N/A</v>
      </c>
      <c r="R161" s="394" t="str">
        <f t="shared" si="109"/>
        <v>N/A</v>
      </c>
      <c r="S161" s="394" t="str">
        <f t="shared" si="109"/>
        <v>N/A</v>
      </c>
      <c r="T161" s="395" t="str">
        <f t="shared" si="116"/>
        <v>N/A</v>
      </c>
      <c r="U161" s="396" t="str">
        <f t="shared" si="110"/>
        <v>N/A</v>
      </c>
      <c r="V161" s="396" t="str">
        <f t="shared" si="110"/>
        <v>N/A</v>
      </c>
      <c r="W161" s="396" t="str">
        <f t="shared" si="110"/>
        <v>N/A</v>
      </c>
      <c r="X161" s="396" t="s">
        <v>457</v>
      </c>
      <c r="Y161" s="395" t="str">
        <f t="shared" si="116"/>
        <v>N/A</v>
      </c>
      <c r="Z161" s="396" t="str">
        <f t="shared" si="116"/>
        <v>N/A</v>
      </c>
      <c r="AA161" s="396" t="str">
        <f t="shared" si="116"/>
        <v>N/A</v>
      </c>
      <c r="AB161" s="396" t="str">
        <f t="shared" si="116"/>
        <v>N/A</v>
      </c>
      <c r="AC161" s="396" t="str">
        <f t="shared" si="116"/>
        <v>N/A</v>
      </c>
      <c r="AD161" s="395" t="str">
        <f t="shared" si="116"/>
        <v>N/A</v>
      </c>
      <c r="AE161" s="395" t="str">
        <f t="shared" si="116"/>
        <v>N/A</v>
      </c>
      <c r="AF161" s="395" t="str">
        <f t="shared" si="116"/>
        <v>N/A</v>
      </c>
      <c r="AG161" s="395" t="str">
        <f t="shared" si="116"/>
        <v>N/A</v>
      </c>
    </row>
    <row r="162" ht="14.25" customHeight="1" spans="1:33" x14ac:dyDescent="0.25">
      <c r="C162" s="8"/>
      <c r="D162" s="8"/>
      <c r="E162" s="8"/>
      <c r="F162" s="312"/>
      <c r="G162" s="312"/>
      <c r="H162" s="312"/>
      <c r="I162" s="312"/>
      <c r="J162" s="160"/>
      <c r="K162" s="312"/>
      <c r="L162" s="312"/>
      <c r="M162" s="312"/>
      <c r="N162" s="312"/>
      <c r="O162" s="160"/>
      <c r="P162" s="312"/>
      <c r="Q162" s="312"/>
      <c r="R162" s="312"/>
      <c r="S162" s="312"/>
      <c r="T162" s="160"/>
      <c r="U162" s="315"/>
      <c r="V162" s="315"/>
      <c r="W162" s="315"/>
      <c r="X162" s="315"/>
      <c r="Y162" s="160"/>
      <c r="Z162" s="315"/>
      <c r="AA162" s="315"/>
      <c r="AB162" s="315"/>
      <c r="AC162" s="315"/>
      <c r="AD162" s="160"/>
      <c r="AE162" s="160"/>
      <c r="AF162" s="160"/>
      <c r="AG162" s="160"/>
    </row>
    <row r="163" ht="14.25" customHeight="1" spans="1:33" x14ac:dyDescent="0.25" outlineLevel="1" collapsed="1">
      <c r="C163" s="8" t="s">
        <v>475</v>
      </c>
      <c r="D163" s="8"/>
      <c r="E163" s="8"/>
      <c r="F163" s="394">
        <f>IFERROR((Model!F36-Model!D36)/('Segment Analysis'!F8-'Segment Analysis'!D8),"N/A")</f>
        <v>1</v>
      </c>
      <c r="G163" s="394">
        <f>IFERROR((Model!G36-Model!F36)/('Segment Analysis'!G8-'Segment Analysis'!F8),"N/A")</f>
        <v>1</v>
      </c>
      <c r="H163" s="394">
        <f>IFERROR((Model!H36-Model!G36)/('Segment Analysis'!H8-'Segment Analysis'!G8),"N/A")</f>
        <v>1</v>
      </c>
      <c r="I163" s="394">
        <f>IFERROR((Model!I36-Model!H36)/('Segment Analysis'!I8-'Segment Analysis'!H8),"N/A")</f>
        <v>1</v>
      </c>
      <c r="J163" s="395"/>
      <c r="K163" s="394">
        <f>IFERROR((Model!K36-Model!I36)/('Segment Analysis'!K8-'Segment Analysis'!I8),"N/A")</f>
        <v>1</v>
      </c>
      <c r="L163" s="394">
        <f>IFERROR((Model!L36-Model!K36)/('Segment Analysis'!L8-'Segment Analysis'!K8),"N/A")</f>
        <v>1</v>
      </c>
      <c r="M163" s="394">
        <f>IFERROR((Model!M36-Model!L36)/('Segment Analysis'!M8-'Segment Analysis'!L8),"N/A")</f>
        <v>1</v>
      </c>
      <c r="N163" s="394">
        <f>IFERROR((Model!N36-Model!M36)/('Segment Analysis'!N8-'Segment Analysis'!M8),"N/A")</f>
        <v>1</v>
      </c>
      <c r="O163" s="395"/>
      <c r="P163" s="394">
        <f>IFERROR((Model!P36-Model!N36)/('Segment Analysis'!P8-'Segment Analysis'!N8),"N/A")</f>
        <v>1</v>
      </c>
      <c r="Q163" s="394">
        <f>IFERROR((Model!Q36-Model!P36)/('Segment Analysis'!Q8-'Segment Analysis'!P8),"N/A")</f>
        <v>1</v>
      </c>
      <c r="R163" s="394">
        <f>IFERROR((Model!R36-Model!Q36)/('Segment Analysis'!R8-'Segment Analysis'!Q8),"N/A")</f>
        <v>1</v>
      </c>
      <c r="S163" s="394">
        <f>IFERROR((Model!S36-Model!R36)/('Segment Analysis'!S8-'Segment Analysis'!R8),"N/A")</f>
        <v>1</v>
      </c>
      <c r="T163" s="395"/>
      <c r="U163" s="396">
        <f>IFERROR((Model!U36-Model!S36)/('Segment Analysis'!U8-'Segment Analysis'!S8),"N/A")</f>
        <v>1</v>
      </c>
      <c r="V163" s="396">
        <f>IFERROR((Model!V36-Model!U36)/('Segment Analysis'!V8-'Segment Analysis'!U8),"N/A")</f>
        <v>1</v>
      </c>
      <c r="W163" s="396">
        <f>IFERROR((Model!W36-Model!V36)/('Segment Analysis'!W8-'Segment Analysis'!V8),"N/A")</f>
        <v>1</v>
      </c>
      <c r="X163" s="396">
        <v>0.32386140665177354</v>
      </c>
      <c r="Y163" s="395"/>
      <c r="Z163" s="396">
        <f>IFERROR((Model!Z36-Model!X36)/('Segment Analysis'!Z8-'Segment Analysis'!X8),"N/A")</f>
        <v>0.08132410419074189</v>
      </c>
      <c r="AA163" s="396">
        <f>IFERROR((Model!AA36-Model!Z36)/('Segment Analysis'!AA8-'Segment Analysis'!Z8),"N/A")</f>
        <v>0.3710141161862796</v>
      </c>
      <c r="AB163" s="396">
        <f>IFERROR((Model!AB36-Model!AA36)/('Segment Analysis'!AB8-'Segment Analysis'!AA8),"N/A")</f>
        <v>-0.35301520990943</v>
      </c>
      <c r="AC163" s="396">
        <f>IFERROR((Model!AC36-Model!AB36)/('Segment Analysis'!AC8-'Segment Analysis'!AB8),"N/A")</f>
        <v>0.6065246978337715</v>
      </c>
      <c r="AD163" s="395"/>
      <c r="AE163" s="395">
        <f>IFERROR((Model!AE36-Model!AD36)/('Segment Analysis'!AE8-'Segment Analysis'!AD8),"N/A")</f>
        <v>0.4109531362324378</v>
      </c>
      <c r="AF163" s="395">
        <f>IFERROR((Model!AF36-Model!AE36)/('Segment Analysis'!AF8-'Segment Analysis'!AE8),"N/A")</f>
        <v>0.1703135830869221</v>
      </c>
      <c r="AG163" s="395">
        <f>IFERROR((Model!AG36-Model!AF36)/('Segment Analysis'!AG8-'Segment Analysis'!AF8),"N/A")</f>
        <v>0.2335751337279079</v>
      </c>
    </row>
    <row r="164" ht="14.25" customHeight="1" spans="1:33" x14ac:dyDescent="0.25" outlineLevel="1" collapsed="1">
      <c r="C164" s="8" t="str">
        <f t="shared" ref="C164:C169" si="117">C17</f>
        <v>Collection</v>
      </c>
      <c r="D164" s="8"/>
      <c r="E164" s="8"/>
      <c r="F164" s="394"/>
      <c r="G164" s="394"/>
      <c r="H164" s="394"/>
      <c r="I164" s="394"/>
      <c r="J164" s="395"/>
      <c r="K164" s="394"/>
      <c r="L164" s="394"/>
      <c r="M164" s="394"/>
      <c r="N164" s="394"/>
      <c r="O164" s="395"/>
      <c r="P164" s="394"/>
      <c r="Q164" s="394"/>
      <c r="R164" s="394"/>
      <c r="S164" s="394"/>
      <c r="T164" s="395"/>
      <c r="U164" s="396"/>
      <c r="V164" s="396"/>
      <c r="W164" s="396"/>
      <c r="X164" s="396"/>
      <c r="Y164" s="395"/>
      <c r="Z164" s="396"/>
      <c r="AA164" s="396"/>
      <c r="AB164" s="396"/>
      <c r="AC164" s="396"/>
      <c r="AD164" s="395"/>
      <c r="AE164" s="395"/>
      <c r="AF164" s="395"/>
      <c r="AG164" s="395"/>
    </row>
    <row r="165" ht="14.25" customHeight="1" spans="1:33" x14ac:dyDescent="0.25" outlineLevel="1" collapsed="1">
      <c r="C165" s="8" t="str">
        <f t="shared" si="117"/>
        <v>Landfill</v>
      </c>
      <c r="D165" s="8"/>
      <c r="E165" s="8"/>
      <c r="F165" s="394"/>
      <c r="G165" s="394"/>
      <c r="H165" s="394"/>
      <c r="I165" s="394"/>
      <c r="J165" s="395"/>
      <c r="K165" s="394"/>
      <c r="L165" s="394"/>
      <c r="M165" s="394"/>
      <c r="N165" s="394"/>
      <c r="O165" s="395"/>
      <c r="P165" s="394"/>
      <c r="Q165" s="394"/>
      <c r="R165" s="394"/>
      <c r="S165" s="394"/>
      <c r="T165" s="395"/>
      <c r="U165" s="396"/>
      <c r="V165" s="396"/>
      <c r="W165" s="396"/>
      <c r="X165" s="396"/>
      <c r="Y165" s="395"/>
      <c r="Z165" s="396"/>
      <c r="AA165" s="396"/>
      <c r="AB165" s="396"/>
      <c r="AC165" s="396"/>
      <c r="AD165" s="395"/>
      <c r="AE165" s="395"/>
      <c r="AF165" s="395"/>
      <c r="AG165" s="395"/>
    </row>
    <row r="166" ht="14.25" customHeight="1" spans="1:33" x14ac:dyDescent="0.25" outlineLevel="1" collapsed="1">
      <c r="C166" s="8" t="str">
        <f t="shared" si="117"/>
        <v>Environmental solutions</v>
      </c>
      <c r="D166" s="8"/>
      <c r="E166" s="8"/>
      <c r="F166" s="394"/>
      <c r="G166" s="394"/>
      <c r="H166" s="394"/>
      <c r="I166" s="394"/>
      <c r="J166" s="395"/>
      <c r="K166" s="394"/>
      <c r="L166" s="394"/>
      <c r="M166" s="394"/>
      <c r="N166" s="394"/>
      <c r="O166" s="395"/>
      <c r="P166" s="394"/>
      <c r="Q166" s="394"/>
      <c r="R166" s="394"/>
      <c r="S166" s="394"/>
      <c r="T166" s="395"/>
      <c r="U166" s="396"/>
      <c r="V166" s="396"/>
      <c r="W166" s="396"/>
      <c r="X166" s="396"/>
      <c r="Y166" s="395"/>
      <c r="Z166" s="396"/>
      <c r="AA166" s="396"/>
      <c r="AB166" s="396"/>
      <c r="AC166" s="396"/>
      <c r="AD166" s="395"/>
      <c r="AE166" s="395"/>
      <c r="AF166" s="395"/>
      <c r="AG166" s="395"/>
    </row>
    <row r="167" ht="14.25" customHeight="1" spans="1:33" x14ac:dyDescent="0.25" outlineLevel="1" collapsed="1">
      <c r="C167" s="8" t="str">
        <f t="shared" si="117"/>
        <v>Transfer</v>
      </c>
      <c r="D167" s="8"/>
      <c r="E167" s="8"/>
      <c r="F167" s="394"/>
      <c r="G167" s="394"/>
      <c r="H167" s="394"/>
      <c r="I167" s="394"/>
      <c r="J167" s="395"/>
      <c r="K167" s="394"/>
      <c r="L167" s="394"/>
      <c r="M167" s="394"/>
      <c r="N167" s="394"/>
      <c r="O167" s="395"/>
      <c r="P167" s="394"/>
      <c r="Q167" s="394"/>
      <c r="R167" s="394"/>
      <c r="S167" s="394"/>
      <c r="T167" s="395"/>
      <c r="U167" s="396"/>
      <c r="V167" s="396"/>
      <c r="W167" s="396"/>
      <c r="X167" s="396"/>
      <c r="Y167" s="395"/>
      <c r="Z167" s="396"/>
      <c r="AA167" s="396"/>
      <c r="AB167" s="396"/>
      <c r="AC167" s="396"/>
      <c r="AD167" s="395"/>
      <c r="AE167" s="395"/>
      <c r="AF167" s="395"/>
      <c r="AG167" s="395"/>
    </row>
    <row r="168" ht="14.25" customHeight="1" spans="1:33" x14ac:dyDescent="0.25" outlineLevel="1" collapsed="1">
      <c r="C168" s="8" t="str">
        <f t="shared" si="117"/>
        <v>Other</v>
      </c>
      <c r="D168" s="8"/>
      <c r="E168" s="8"/>
      <c r="F168" s="394"/>
      <c r="G168" s="394"/>
      <c r="H168" s="394"/>
      <c r="I168" s="394"/>
      <c r="J168" s="395"/>
      <c r="K168" s="394"/>
      <c r="L168" s="394"/>
      <c r="M168" s="394"/>
      <c r="N168" s="394"/>
      <c r="O168" s="395"/>
      <c r="P168" s="394"/>
      <c r="Q168" s="394"/>
      <c r="R168" s="394"/>
      <c r="S168" s="394"/>
      <c r="T168" s="395"/>
      <c r="U168" s="396"/>
      <c r="V168" s="396"/>
      <c r="W168" s="396"/>
      <c r="X168" s="396"/>
      <c r="Y168" s="395"/>
      <c r="Z168" s="396"/>
      <c r="AA168" s="396"/>
      <c r="AB168" s="396"/>
      <c r="AC168" s="396"/>
      <c r="AD168" s="395"/>
      <c r="AE168" s="395"/>
      <c r="AF168" s="395"/>
      <c r="AG168" s="395"/>
    </row>
    <row r="169" ht="14.25" customHeight="1" spans="1:33" x14ac:dyDescent="0.25" outlineLevel="1" collapsed="1">
      <c r="C169" s="8" t="str">
        <f t="shared" si="117"/>
        <v>Professional Services and Other</v>
      </c>
      <c r="D169" s="8"/>
      <c r="E169" s="8"/>
      <c r="F169" s="394"/>
      <c r="G169" s="394"/>
      <c r="H169" s="394"/>
      <c r="I169" s="394"/>
      <c r="J169" s="395"/>
      <c r="K169" s="394"/>
      <c r="L169" s="394"/>
      <c r="M169" s="394"/>
      <c r="N169" s="394"/>
      <c r="O169" s="395"/>
      <c r="P169" s="394"/>
      <c r="Q169" s="394"/>
      <c r="R169" s="394"/>
      <c r="S169" s="394"/>
      <c r="T169" s="395"/>
      <c r="U169" s="396"/>
      <c r="V169" s="396"/>
      <c r="W169" s="396"/>
      <c r="X169" s="396"/>
      <c r="Y169" s="395"/>
      <c r="Z169" s="396"/>
      <c r="AA169" s="396"/>
      <c r="AB169" s="396"/>
      <c r="AC169" s="396"/>
      <c r="AD169" s="395"/>
      <c r="AE169" s="395"/>
      <c r="AF169" s="395"/>
      <c r="AG169" s="395"/>
    </row>
    <row r="170" ht="14.25" customHeight="1" spans="1:33" x14ac:dyDescent="0.25">
      <c r="C170" s="8"/>
      <c r="D170" s="8"/>
      <c r="E170" s="8"/>
      <c r="F170" s="312"/>
      <c r="G170" s="312"/>
      <c r="H170" s="312"/>
      <c r="I170" s="312"/>
      <c r="J170" s="160"/>
      <c r="K170" s="312"/>
      <c r="L170" s="312"/>
      <c r="M170" s="312"/>
      <c r="N170" s="312"/>
      <c r="O170" s="160"/>
      <c r="P170" s="312"/>
      <c r="Q170" s="312"/>
      <c r="R170" s="312"/>
      <c r="S170" s="312"/>
      <c r="T170" s="160"/>
      <c r="U170" s="315"/>
      <c r="V170" s="315"/>
      <c r="W170" s="315"/>
      <c r="X170" s="315"/>
      <c r="Y170" s="160"/>
      <c r="Z170" s="315"/>
      <c r="AA170" s="315"/>
      <c r="AB170" s="315"/>
      <c r="AC170" s="315"/>
      <c r="AD170" s="160"/>
      <c r="AE170" s="160"/>
      <c r="AF170" s="160"/>
      <c r="AG170" s="160"/>
    </row>
    <row r="171" ht="14.25" customHeight="1" spans="1:33" x14ac:dyDescent="0.25">
      <c r="C171" s="36" t="s">
        <v>476</v>
      </c>
      <c r="D171" s="37"/>
      <c r="E171" s="37"/>
      <c r="F171" s="524"/>
      <c r="G171" s="524"/>
      <c r="H171" s="524"/>
      <c r="I171" s="524"/>
      <c r="J171" s="524"/>
      <c r="K171" s="524"/>
      <c r="L171" s="524"/>
      <c r="M171" s="524"/>
      <c r="N171" s="524"/>
      <c r="O171" s="524"/>
      <c r="P171" s="524"/>
      <c r="Q171" s="524"/>
      <c r="R171" s="524"/>
      <c r="S171" s="524"/>
      <c r="T171" s="524"/>
      <c r="U171" s="524"/>
      <c r="V171" s="524"/>
      <c r="W171" s="524"/>
      <c r="X171" s="524"/>
      <c r="Y171" s="524"/>
      <c r="Z171" s="524"/>
      <c r="AA171" s="524"/>
      <c r="AB171" s="524"/>
      <c r="AC171" s="524"/>
      <c r="AD171" s="524"/>
      <c r="AE171" s="524"/>
      <c r="AF171" s="524"/>
      <c r="AG171" s="525"/>
    </row>
    <row r="172" ht="14.25" customHeight="1" spans="1:33" x14ac:dyDescent="0.25">
      <c r="C172" s="8"/>
      <c r="D172" s="8"/>
      <c r="E172" s="8"/>
      <c r="F172" s="312"/>
      <c r="G172" s="312"/>
      <c r="H172" s="312"/>
      <c r="I172" s="312"/>
      <c r="J172" s="160"/>
      <c r="K172" s="312"/>
      <c r="L172" s="312"/>
      <c r="M172" s="312"/>
      <c r="N172" s="312"/>
      <c r="O172" s="160"/>
      <c r="P172" s="312"/>
      <c r="Q172" s="312"/>
      <c r="R172" s="312"/>
      <c r="S172" s="312"/>
      <c r="T172" s="160"/>
      <c r="U172" s="315"/>
      <c r="V172" s="315"/>
      <c r="W172" s="315"/>
      <c r="X172" s="315"/>
      <c r="Y172" s="160"/>
      <c r="Z172" s="315"/>
      <c r="AA172" s="315"/>
      <c r="AB172" s="315"/>
      <c r="AC172" s="315"/>
      <c r="AD172" s="160"/>
      <c r="AE172" s="160"/>
      <c r="AF172" s="160"/>
      <c r="AG172" s="160"/>
    </row>
    <row r="173" ht="14.25" customHeight="1" spans="1:33" x14ac:dyDescent="0.25">
      <c r="C173" s="8" t="s">
        <v>477</v>
      </c>
      <c r="D173" s="8"/>
      <c r="E173" s="8"/>
      <c r="F173" s="394" t="str">
        <f>IFERROR('Segment Analysis'!F8/'Segment Analysis'!A8-1,"N/A")</f>
        <v>N/A</v>
      </c>
      <c r="G173" s="394" t="str">
        <f>IFERROR('Segment Analysis'!G8/'Segment Analysis'!B8-1,"N/A")</f>
        <v>N/A</v>
      </c>
      <c r="H173" s="394" t="str">
        <f>IFERROR('Segment Analysis'!H8/'Segment Analysis'!C8-1,"N/A")</f>
        <v>N/A</v>
      </c>
      <c r="I173" s="394" t="str">
        <f>IFERROR('Segment Analysis'!I8/'Segment Analysis'!D8-1,"N/A")</f>
        <v>N/A</v>
      </c>
      <c r="J173" s="395"/>
      <c r="K173" s="394">
        <f>IFERROR('Segment Analysis'!K8/'Segment Analysis'!F8-1,"N/A")</f>
        <v>0.0783558124598589</v>
      </c>
      <c r="L173" s="394">
        <f>IFERROR('Segment Analysis'!L8/'Segment Analysis'!G8-1,"N/A")</f>
        <v>0.08644891167234725</v>
      </c>
      <c r="M173" s="394">
        <f>IFERROR('Segment Analysis'!M8/'Segment Analysis'!H8-1,"N/A")</f>
        <v>0.06542251496379947</v>
      </c>
      <c r="N173" s="394">
        <f>IFERROR('Segment Analysis'!N8/'Segment Analysis'!I8-1,"N/A")</f>
        <v>0.0559557365069423</v>
      </c>
      <c r="O173" s="395">
        <f>IFERROR('Segment Analysis'!O8/'Segment Analysis'!J8-1,"N/A")</f>
        <v>0.07132881152059878</v>
      </c>
      <c r="P173" s="394">
        <f>IFERROR('Segment Analysis'!P8/'Segment Analysis'!K8-1,"N/A")</f>
        <v>0.0381438226687727</v>
      </c>
      <c r="Q173" s="394">
        <f>IFERROR('Segment Analysis'!Q8/'Segment Analysis'!L8-1,"N/A")</f>
        <v>0.04619565217391308</v>
      </c>
      <c r="R173" s="394">
        <f>IFERROR('Segment Analysis'!R8/'Segment Analysis'!M8-1,"N/A")</f>
        <v>0.03331534272116188</v>
      </c>
      <c r="S173" s="394">
        <f>IFERROR('Segment Analysis'!S8/'Segment Analysis'!N8-1,"N/A")</f>
        <v>0.022244191794364765</v>
      </c>
      <c r="T173" s="395">
        <f>IFERROR('Segment Analysis'!T8/'Segment Analysis'!O8-1,"N/A")</f>
        <v>0.03493659516339287</v>
      </c>
      <c r="U173" s="396">
        <f>IFERROR('Segment Analysis'!U8/'Segment Analysis'!P8-1,"N/A")</f>
        <v>0.03582713893739098</v>
      </c>
      <c r="V173" s="396">
        <f>IFERROR('Segment Analysis'!V8/'Segment Analysis'!Q8-1,"N/A")</f>
        <v>0.03411711924439187</v>
      </c>
      <c r="W173" s="396">
        <f>IFERROR('Segment Analysis'!W8/'Segment Analysis'!R8-1,"N/A")</f>
        <v>0.0347070275403607</v>
      </c>
      <c r="X173" s="396">
        <v>0.05247862105375556</v>
      </c>
      <c r="Y173" s="395">
        <f>IFERROR('Segment Analysis'!Y8/'Segment Analysis'!T8-1,"N/A")</f>
        <v>0.04424532565392969</v>
      </c>
      <c r="Z173" s="396">
        <f>IFERROR('Segment Analysis'!Z8/'Segment Analysis'!U8-1,"N/A")</f>
        <v>0.04961533278540742</v>
      </c>
      <c r="AA173" s="396">
        <f>IFERROR('Segment Analysis'!AA8/'Segment Analysis'!V8-1,"N/A")</f>
        <v>0.04883257213289416</v>
      </c>
      <c r="AB173" s="396">
        <f>IFERROR('Segment Analysis'!AB8/'Segment Analysis'!W8-1,"N/A")</f>
        <v>0.049512595377985136</v>
      </c>
      <c r="AC173" s="396">
        <f>IFERROR('Segment Analysis'!AC8/'Segment Analysis'!X8-1,"N/A")</f>
        <v>0.0195822819640028</v>
      </c>
      <c r="AD173" s="395">
        <f>IFERROR('Segment Analysis'!AD8/'Segment Analysis'!Y8-1,"N/A")</f>
        <v>0.041702602121566734</v>
      </c>
      <c r="AE173" s="395">
        <f>IFERROR('Segment Analysis'!AE8/'Segment Analysis'!Z8-1,"N/A")</f>
        <v>3.3411797993448937</v>
      </c>
      <c r="AF173" s="395">
        <f>IFERROR('Segment Analysis'!AF8/'Segment Analysis'!AA8-1,"N/A")</f>
        <v>3.3285931760211724</v>
      </c>
      <c r="AG173" s="395">
        <f>IFERROR('Segment Analysis'!AG8/'Segment Analysis'!AB8-1,"N/A")</f>
        <v>3.5560145335397557</v>
      </c>
    </row>
    <row r="174" ht="14.25" customHeight="1" spans="1:33" x14ac:dyDescent="0.25">
      <c r="C174" s="130" t="str">
        <f>'Segment Analysis'!C17</f>
        <v>Collection</v>
      </c>
      <c r="D174" s="8"/>
      <c r="E174" s="8"/>
      <c r="F174" s="394" t="str">
        <f>IFERROR('Segment Analysis'!F9/'Segment Analysis'!A9-1,"N/A")</f>
        <v>N/A</v>
      </c>
      <c r="G174" s="394" t="str">
        <f>IFERROR('Segment Analysis'!G9/'Segment Analysis'!B9-1,"N/A")</f>
        <v>N/A</v>
      </c>
      <c r="H174" s="394" t="str">
        <f>IFERROR('Segment Analysis'!H9/'Segment Analysis'!C9-1,"N/A")</f>
        <v>N/A</v>
      </c>
      <c r="I174" s="394" t="str">
        <f>IFERROR('Segment Analysis'!I9/'Segment Analysis'!D9-1,"N/A")</f>
        <v>N/A</v>
      </c>
      <c r="J174" s="395"/>
      <c r="K174" s="394">
        <f>IFERROR('Segment Analysis'!K9/'Segment Analysis'!F9-1,"N/A")</f>
        <v>0.08314350797266523</v>
      </c>
      <c r="L174" s="394">
        <f>IFERROR('Segment Analysis'!L9/'Segment Analysis'!G9-1,"N/A")</f>
        <v>0.07070389303971703</v>
      </c>
      <c r="M174" s="394">
        <f>IFERROR('Segment Analysis'!M9/'Segment Analysis'!H9-1,"N/A")</f>
        <v>0.047888400535065934</v>
      </c>
      <c r="N174" s="394">
        <f>IFERROR('Segment Analysis'!N9/'Segment Analysis'!I9-1,"N/A")</f>
        <v>0.03529411764705892</v>
      </c>
      <c r="O174" s="395">
        <f>IFERROR('Segment Analysis'!O9/'Segment Analysis'!J9-1,"N/A")</f>
        <v>0.05876386193174632</v>
      </c>
      <c r="P174" s="394">
        <f>IFERROR('Segment Analysis'!P9/'Segment Analysis'!K9-1,"N/A")</f>
        <v>0.030118672074507913</v>
      </c>
      <c r="Q174" s="394">
        <f>IFERROR('Segment Analysis'!Q9/'Segment Analysis'!L9-1,"N/A")</f>
        <v>0.03643308359042163</v>
      </c>
      <c r="R174" s="394">
        <f>IFERROR('Segment Analysis'!R9/'Segment Analysis'!M9-1,"N/A")</f>
        <v>0.03399226785323495</v>
      </c>
      <c r="S174" s="394">
        <f>IFERROR('Segment Analysis'!S9/'Segment Analysis'!N9-1,"N/A")</f>
        <v>0.03848973607038131</v>
      </c>
      <c r="T174" s="395">
        <f>IFERROR('Segment Analysis'!T9/'Segment Analysis'!O9-1,"N/A")</f>
        <v>0.034784531201061064</v>
      </c>
      <c r="U174" s="396">
        <f>IFERROR('Segment Analysis'!U9/'Segment Analysis'!P9-1,"N/A")</f>
        <v>0.03600000000000003</v>
      </c>
      <c r="V174" s="396">
        <f>IFERROR('Segment Analysis'!V9/'Segment Analysis'!Q9-1,"N/A")</f>
        <v>0.038999999999999924</v>
      </c>
      <c r="W174" s="396">
        <f>IFERROR('Segment Analysis'!W9/'Segment Analysis'!R9-1,"N/A")</f>
        <v>0.038999999999999924</v>
      </c>
      <c r="X174" s="396">
        <v>0.05699999999999994</v>
      </c>
      <c r="Y174" s="395">
        <f>IFERROR('Segment Analysis'!Y9/'Segment Analysis'!T9-1,"N/A")</f>
        <v>0.04576175554170736</v>
      </c>
      <c r="Z174" s="396">
        <f>IFERROR('Segment Analysis'!Z9/'Segment Analysis'!U9-1,"N/A")</f>
        <v>0.050000000000000044</v>
      </c>
      <c r="AA174" s="396">
        <f>IFERROR('Segment Analysis'!AA9/'Segment Analysis'!V9-1,"N/A")</f>
        <v>0.04899999999999993</v>
      </c>
      <c r="AB174" s="396">
        <f>IFERROR('Segment Analysis'!AB9/'Segment Analysis'!W9-1,"N/A")</f>
        <v>0.050999999999999934</v>
      </c>
      <c r="AC174" s="396">
        <f>IFERROR('Segment Analysis'!AC9/'Segment Analysis'!X9-1,"N/A")</f>
        <v>0.025710843133936567</v>
      </c>
      <c r="AD174" s="395">
        <f>IFERROR('Segment Analysis'!AD9/'Segment Analysis'!Y9-1,"N/A")</f>
        <v>0.04374088683331334</v>
      </c>
      <c r="AE174" s="395">
        <f>IFERROR('Segment Analysis'!AE9/'Segment Analysis'!Z9-1,"N/A")</f>
        <v>3.3063332118279707</v>
      </c>
      <c r="AF174" s="395">
        <f>IFERROR('Segment Analysis'!AF9/'Segment Analysis'!AA9-1,"N/A")</f>
        <v>3.3907343718995007</v>
      </c>
      <c r="AG174" s="395">
        <f>IFERROR('Segment Analysis'!AG9/'Segment Analysis'!AB9-1,"N/A")</f>
        <v>3.554223932875531</v>
      </c>
    </row>
    <row r="175" ht="14.25" customHeight="1" spans="1:33" x14ac:dyDescent="0.25">
      <c r="C175" s="130" t="str">
        <f>'Segment Analysis'!C18</f>
        <v>Landfill</v>
      </c>
      <c r="D175" s="8"/>
      <c r="E175" s="8"/>
      <c r="F175" s="394" t="str">
        <f>IFERROR('Segment Analysis'!F10/'Segment Analysis'!A10-1,"N/A")</f>
        <v>N/A</v>
      </c>
      <c r="G175" s="394" t="str">
        <f>IFERROR('Segment Analysis'!G10/'Segment Analysis'!B10-1,"N/A")</f>
        <v>N/A</v>
      </c>
      <c r="H175" s="394" t="str">
        <f>IFERROR('Segment Analysis'!H10/'Segment Analysis'!C10-1,"N/A")</f>
        <v>N/A</v>
      </c>
      <c r="I175" s="394" t="str">
        <f>IFERROR('Segment Analysis'!I10/'Segment Analysis'!D10-1,"N/A")</f>
        <v>N/A</v>
      </c>
      <c r="J175" s="395"/>
      <c r="K175" s="394">
        <f>IFERROR('Segment Analysis'!K10/'Segment Analysis'!F10-1,"N/A")</f>
        <v>0.030056036678553166</v>
      </c>
      <c r="L175" s="394">
        <f>IFERROR('Segment Analysis'!L10/'Segment Analysis'!G10-1,"N/A")</f>
        <v>0.02134570765661259</v>
      </c>
      <c r="M175" s="394">
        <f>IFERROR('Segment Analysis'!M10/'Segment Analysis'!H10-1,"N/A")</f>
        <v>0.03781801512720606</v>
      </c>
      <c r="N175" s="394">
        <f>IFERROR('Segment Analysis'!N10/'Segment Analysis'!I10-1,"N/A")</f>
        <v>0.05576739752144899</v>
      </c>
      <c r="O175" s="395">
        <f>IFERROR('Segment Analysis'!O10/'Segment Analysis'!J10-1,"N/A")</f>
        <v>0.036260791902351874</v>
      </c>
      <c r="P175" s="394">
        <f>IFERROR('Segment Analysis'!P10/'Segment Analysis'!K10-1,"N/A")</f>
        <v>0.041048466864490596</v>
      </c>
      <c r="Q175" s="394">
        <f>IFERROR('Segment Analysis'!Q10/'Segment Analysis'!L10-1,"N/A")</f>
        <v>0.1721944570649705</v>
      </c>
      <c r="R175" s="394">
        <f>IFERROR('Segment Analysis'!R10/'Segment Analysis'!M10-1,"N/A")</f>
        <v>0.13957597173144864</v>
      </c>
      <c r="S175" s="394">
        <f>IFERROR('Segment Analysis'!S10/'Segment Analysis'!N10-1,"N/A")</f>
        <v>0.05417607223476306</v>
      </c>
      <c r="T175" s="395">
        <f>IFERROR('Segment Analysis'!T10/'Segment Analysis'!O10-1,"N/A")</f>
        <v>0.1031946678924387</v>
      </c>
      <c r="U175" s="396">
        <f>IFERROR('Segment Analysis'!U10/'Segment Analysis'!P10-1,"N/A")</f>
        <v>0.04299999999999993</v>
      </c>
      <c r="V175" s="396">
        <f>IFERROR('Segment Analysis'!V10/'Segment Analysis'!Q10-1,"N/A")</f>
        <v>0.006999999999999895</v>
      </c>
      <c r="W175" s="396">
        <f>IFERROR('Segment Analysis'!W10/'Segment Analysis'!R10-1,"N/A")</f>
        <v>0.008999999999999897</v>
      </c>
      <c r="X175" s="396">
        <v>0.03249999999999997</v>
      </c>
      <c r="Y175" s="395">
        <f>IFERROR('Segment Analysis'!Y10/'Segment Analysis'!T10-1,"N/A")</f>
        <v>0.030334611067708295</v>
      </c>
      <c r="Z175" s="396">
        <f>IFERROR('Segment Analysis'!Z10/'Segment Analysis'!U10-1,"N/A")</f>
        <v>0.04699999999999993</v>
      </c>
      <c r="AA175" s="396">
        <f>IFERROR('Segment Analysis'!AA10/'Segment Analysis'!V10-1,"N/A")</f>
        <v>0.052000000000000046</v>
      </c>
      <c r="AB175" s="396">
        <f>IFERROR('Segment Analysis'!AB10/'Segment Analysis'!W10-1,"N/A")</f>
        <v>0.04800000000000004</v>
      </c>
      <c r="AC175" s="396">
        <f>IFERROR('Segment Analysis'!AC10/'Segment Analysis'!X10-1,"N/A")</f>
        <v>0.024190523200119607</v>
      </c>
      <c r="AD175" s="395">
        <f>IFERROR('Segment Analysis'!AD10/'Segment Analysis'!Y10-1,"N/A")</f>
        <v>0.04282429012218447</v>
      </c>
      <c r="AE175" s="395">
        <f>IFERROR('Segment Analysis'!AE10/'Segment Analysis'!Z10-1,"N/A")</f>
        <v>3.7429938056645273</v>
      </c>
      <c r="AF175" s="395">
        <f>IFERROR('Segment Analysis'!AF10/'Segment Analysis'!AA10-1,"N/A")</f>
        <v>3.2124489387470136</v>
      </c>
      <c r="AG175" s="395">
        <f>IFERROR('Segment Analysis'!AG10/'Segment Analysis'!AB10-1,"N/A")</f>
        <v>3.448033218641311</v>
      </c>
    </row>
    <row r="176" ht="14.25" customHeight="1" spans="1:33" x14ac:dyDescent="0.25">
      <c r="C176" s="130" t="str">
        <f>'Segment Analysis'!C19</f>
        <v>Environmental solutions</v>
      </c>
      <c r="D176" s="8"/>
      <c r="E176" s="8"/>
      <c r="F176" s="394" t="str">
        <f>IFERROR('Segment Analysis'!F11/'Segment Analysis'!A11-1,"N/A")</f>
        <v>N/A</v>
      </c>
      <c r="G176" s="394" t="str">
        <f>IFERROR('Segment Analysis'!G11/'Segment Analysis'!B11-1,"N/A")</f>
        <v>N/A</v>
      </c>
      <c r="H176" s="394" t="str">
        <f>IFERROR('Segment Analysis'!H11/'Segment Analysis'!C11-1,"N/A")</f>
        <v>N/A</v>
      </c>
      <c r="I176" s="394" t="str">
        <f>IFERROR('Segment Analysis'!I11/'Segment Analysis'!D11-1,"N/A")</f>
        <v>N/A</v>
      </c>
      <c r="J176" s="395"/>
      <c r="K176" s="394">
        <f>IFERROR('Segment Analysis'!K11/'Segment Analysis'!F11-1,"N/A")</f>
        <v>0.03673769287288753</v>
      </c>
      <c r="L176" s="394">
        <f>IFERROR('Segment Analysis'!L11/'Segment Analysis'!G11-1,"N/A")</f>
        <v>0.18654280692945013</v>
      </c>
      <c r="M176" s="394">
        <f>IFERROR('Segment Analysis'!M11/'Segment Analysis'!H11-1,"N/A")</f>
        <v>0.14797430830039526</v>
      </c>
      <c r="N176" s="394">
        <f>IFERROR('Segment Analysis'!N11/'Segment Analysis'!I11-1,"N/A")</f>
        <v>0.16594097726173196</v>
      </c>
      <c r="O176" s="395">
        <f>IFERROR('Segment Analysis'!O11/'Segment Analysis'!J11-1,"N/A")</f>
        <v>0.13404726735598227</v>
      </c>
      <c r="P176" s="394">
        <f>IFERROR('Segment Analysis'!P11/'Segment Analysis'!K11-1,"N/A")</f>
        <v>0.060713442003307305</v>
      </c>
      <c r="Q176" s="394">
        <f>IFERROR('Segment Analysis'!Q11/'Segment Analysis'!L11-1,"N/A")</f>
        <v>-0.022429115531104604</v>
      </c>
      <c r="R176" s="394">
        <f>IFERROR('Segment Analysis'!R11/'Segment Analysis'!M11-1,"N/A")</f>
        <v>-0.06821605336776415</v>
      </c>
      <c r="S176" s="394">
        <f>IFERROR('Segment Analysis'!S11/'Segment Analysis'!N11-1,"N/A")</f>
        <v>-0.12448132780082988</v>
      </c>
      <c r="T176" s="395">
        <f>IFERROR('Segment Analysis'!T11/'Segment Analysis'!O11-1,"N/A")</f>
        <v>-0.04157169217410184</v>
      </c>
      <c r="U176" s="396">
        <f>IFERROR('Segment Analysis'!U11/'Segment Analysis'!P11-1,"N/A")</f>
        <v>0.03200000000000003</v>
      </c>
      <c r="V176" s="396">
        <f>IFERROR('Segment Analysis'!V11/'Segment Analysis'!Q11-1,"N/A")</f>
        <v>0.03499999999999992</v>
      </c>
      <c r="W176" s="396">
        <f>IFERROR('Segment Analysis'!W11/'Segment Analysis'!R11-1,"N/A")</f>
        <v>0.03699999999999992</v>
      </c>
      <c r="X176" s="396">
        <v>0.06299999999999994</v>
      </c>
      <c r="Y176" s="395">
        <f>IFERROR('Segment Analysis'!Y11/'Segment Analysis'!T11-1,"N/A")</f>
        <v>0.06302757644394097</v>
      </c>
      <c r="Z176" s="396">
        <f>IFERROR('Segment Analysis'!Z11/'Segment Analysis'!U11-1,"N/A")</f>
        <v>0.05600000000000005</v>
      </c>
      <c r="AA176" s="396">
        <f>IFERROR('Segment Analysis'!AA11/'Segment Analysis'!V11-1,"N/A")</f>
        <v>0.050999999999999934</v>
      </c>
      <c r="AB176" s="396">
        <f>IFERROR('Segment Analysis'!AB11/'Segment Analysis'!W11-1,"N/A")</f>
        <v>0.04899999999999993</v>
      </c>
      <c r="AC176" s="396">
        <f>IFERROR('Segment Analysis'!AC11/'Segment Analysis'!X11-1,"N/A")</f>
        <v>-0.04688497963113125</v>
      </c>
      <c r="AD176" s="395">
        <f>IFERROR('Segment Analysis'!AD11/'Segment Analysis'!Y11-1,"N/A")</f>
        <v>0.026376164853617157</v>
      </c>
      <c r="AE176" s="395">
        <f>IFERROR('Segment Analysis'!AE11/'Segment Analysis'!Z11-1,"N/A")</f>
        <v>3.138610427874542</v>
      </c>
      <c r="AF176" s="395">
        <f>IFERROR('Segment Analysis'!AF11/'Segment Analysis'!AA11-1,"N/A")</f>
        <v>3.255233349344376</v>
      </c>
      <c r="AG176" s="395">
        <f>IFERROR('Segment Analysis'!AG11/'Segment Analysis'!AB11-1,"N/A")</f>
        <v>3.8579166503296767</v>
      </c>
    </row>
    <row r="177" ht="14.25" customHeight="1" spans="1:33" x14ac:dyDescent="0.25">
      <c r="C177" s="130" t="str">
        <f>'Segment Analysis'!C20</f>
        <v>Transfer</v>
      </c>
      <c r="D177" s="8"/>
      <c r="E177" s="8"/>
      <c r="F177" s="394" t="str">
        <f>IFERROR('Segment Analysis'!F12/'Segment Analysis'!A12-1,"N/A")</f>
        <v>N/A</v>
      </c>
      <c r="G177" s="394" t="str">
        <f>IFERROR('Segment Analysis'!G12/'Segment Analysis'!B12-1,"N/A")</f>
        <v>N/A</v>
      </c>
      <c r="H177" s="394" t="str">
        <f>IFERROR('Segment Analysis'!H12/'Segment Analysis'!C12-1,"N/A")</f>
        <v>N/A</v>
      </c>
      <c r="I177" s="394" t="str">
        <f>IFERROR('Segment Analysis'!I12/'Segment Analysis'!D12-1,"N/A")</f>
        <v>N/A</v>
      </c>
      <c r="J177" s="395"/>
      <c r="K177" s="394">
        <f>IFERROR('Segment Analysis'!K12/'Segment Analysis'!F12-1,"N/A")</f>
        <v>0.05481823427582233</v>
      </c>
      <c r="L177" s="394">
        <f>IFERROR('Segment Analysis'!L12/'Segment Analysis'!G12-1,"N/A")</f>
        <v>0.05524581855043076</v>
      </c>
      <c r="M177" s="394">
        <f>IFERROR('Segment Analysis'!M12/'Segment Analysis'!H12-1,"N/A")</f>
        <v>0.026188166828322146</v>
      </c>
      <c r="N177" s="394">
        <f>IFERROR('Segment Analysis'!N12/'Segment Analysis'!I12-1,"N/A")</f>
        <v>0.07863974495217851</v>
      </c>
      <c r="O177" s="395">
        <f>IFERROR('Segment Analysis'!O12/'Segment Analysis'!J12-1,"N/A")</f>
        <v>0.05307189542483659</v>
      </c>
      <c r="P177" s="394">
        <f>IFERROR('Segment Analysis'!P12/'Segment Analysis'!K12-1,"N/A")</f>
        <v>0.02844638949671774</v>
      </c>
      <c r="Q177" s="394">
        <f>IFERROR('Segment Analysis'!Q12/'Segment Analysis'!L12-1,"N/A")</f>
        <v>0.06147934678194056</v>
      </c>
      <c r="R177" s="394">
        <f>IFERROR('Segment Analysis'!R12/'Segment Analysis'!M12-1,"N/A")</f>
        <v>0.05860113421550106</v>
      </c>
      <c r="S177" s="394">
        <f>IFERROR('Segment Analysis'!S12/'Segment Analysis'!N12-1,"N/A")</f>
        <v>0.054187192118226646</v>
      </c>
      <c r="T177" s="395">
        <f>IFERROR('Segment Analysis'!T12/'Segment Analysis'!O12-1,"N/A")</f>
        <v>0.05139026812313796</v>
      </c>
      <c r="U177" s="396">
        <f>IFERROR('Segment Analysis'!U12/'Segment Analysis'!P12-1,"N/A")</f>
        <v>0.04499999999999993</v>
      </c>
      <c r="V177" s="396">
        <f>IFERROR('Segment Analysis'!V12/'Segment Analysis'!Q12-1,"N/A")</f>
        <v>0.04400000000000004</v>
      </c>
      <c r="W177" s="396">
        <f>IFERROR('Segment Analysis'!W12/'Segment Analysis'!R12-1,"N/A")</f>
        <v>0.04400000000000004</v>
      </c>
      <c r="X177" s="396">
        <v>0.040000000000000036</v>
      </c>
      <c r="Y177" s="395">
        <f>IFERROR('Segment Analysis'!Y12/'Segment Analysis'!T12-1,"N/A")</f>
        <v>0.04441095631641079</v>
      </c>
      <c r="Z177" s="396">
        <f>IFERROR('Segment Analysis'!Z12/'Segment Analysis'!U12-1,"N/A")</f>
        <v>0.05600000000000005</v>
      </c>
      <c r="AA177" s="396">
        <f>IFERROR('Segment Analysis'!AA12/'Segment Analysis'!V12-1,"N/A")</f>
        <v>0.052000000000000046</v>
      </c>
      <c r="AB177" s="396">
        <f>IFERROR('Segment Analysis'!AB12/'Segment Analysis'!W12-1,"N/A")</f>
        <v>0.04899999999999993</v>
      </c>
      <c r="AC177" s="396">
        <f>IFERROR('Segment Analysis'!AC12/'Segment Analysis'!X12-1,"N/A")</f>
        <v>0.053269267445783974</v>
      </c>
      <c r="AD177" s="395">
        <f>IFERROR('Segment Analysis'!AD12/'Segment Analysis'!Y12-1,"N/A")</f>
        <v>0.052416056013813384</v>
      </c>
      <c r="AE177" s="395">
        <f>IFERROR('Segment Analysis'!AE12/'Segment Analysis'!Z12-1,"N/A")</f>
        <v>3.6849475744542035</v>
      </c>
      <c r="AF177" s="395">
        <f>IFERROR('Segment Analysis'!AF12/'Segment Analysis'!AA12-1,"N/A")</f>
        <v>3.208593665442251</v>
      </c>
      <c r="AG177" s="395">
        <f>IFERROR('Segment Analysis'!AG12/'Segment Analysis'!AB12-1,"N/A")</f>
        <v>3.2806982862209253</v>
      </c>
    </row>
    <row r="178" ht="14.25" customHeight="1" spans="1:33" x14ac:dyDescent="0.25">
      <c r="C178" s="130" t="str">
        <f>'Segment Analysis'!C21</f>
        <v>Other</v>
      </c>
      <c r="D178" s="8"/>
      <c r="E178" s="8"/>
      <c r="F178" s="394" t="str">
        <f>IFERROR('Segment Analysis'!F13/'Segment Analysis'!A13-1,"N/A")</f>
        <v>N/A</v>
      </c>
      <c r="G178" s="394" t="str">
        <f>IFERROR('Segment Analysis'!G13/'Segment Analysis'!B13-1,"N/A")</f>
        <v>N/A</v>
      </c>
      <c r="H178" s="394" t="str">
        <f>IFERROR('Segment Analysis'!H13/'Segment Analysis'!C13-1,"N/A")</f>
        <v>N/A</v>
      </c>
      <c r="I178" s="394" t="str">
        <f>IFERROR('Segment Analysis'!I13/'Segment Analysis'!D13-1,"N/A")</f>
        <v>N/A</v>
      </c>
      <c r="J178" s="395"/>
      <c r="K178" s="394">
        <f>IFERROR('Segment Analysis'!K13/'Segment Analysis'!F13-1,"N/A")</f>
        <v>0.26868686868686864</v>
      </c>
      <c r="L178" s="394">
        <f>IFERROR('Segment Analysis'!L13/'Segment Analysis'!G13-1,"N/A")</f>
        <v>0.3064619321817017</v>
      </c>
      <c r="M178" s="394">
        <f>IFERROR('Segment Analysis'!M13/'Segment Analysis'!H13-1,"N/A")</f>
        <v>0.26650215916101194</v>
      </c>
      <c r="N178" s="394">
        <f>IFERROR('Segment Analysis'!N13/'Segment Analysis'!I13-1,"N/A")</f>
        <v>0.08323831242873436</v>
      </c>
      <c r="O178" s="395">
        <f>IFERROR('Segment Analysis'!O13/'Segment Analysis'!J13-1,"N/A")</f>
        <v>0.2266853495251442</v>
      </c>
      <c r="P178" s="394">
        <f>IFERROR('Segment Analysis'!P13/'Segment Analysis'!K13-1,"N/A")</f>
        <v>0.10403397027600847</v>
      </c>
      <c r="Q178" s="394">
        <f>IFERROR('Segment Analysis'!Q13/'Segment Analysis'!L13-1,"N/A")</f>
        <v>0.04799216454456423</v>
      </c>
      <c r="R178" s="394">
        <f>IFERROR('Segment Analysis'!R13/'Segment Analysis'!M13-1,"N/A")</f>
        <v>-0.006332196785192479</v>
      </c>
      <c r="S178" s="394">
        <f>IFERROR('Segment Analysis'!S13/'Segment Analysis'!N13-1,"N/A")</f>
        <v>0.05263157894736836</v>
      </c>
      <c r="T178" s="395">
        <f>IFERROR('Segment Analysis'!T13/'Segment Analysis'!O13-1,"N/A")</f>
        <v>0.048356390404873606</v>
      </c>
      <c r="U178" s="396">
        <f>IFERROR('Segment Analysis'!U13/'Segment Analysis'!P13-1,"N/A")</f>
        <v>0.018999999999999906</v>
      </c>
      <c r="V178" s="396">
        <f>IFERROR('Segment Analysis'!V13/'Segment Analysis'!Q13-1,"N/A")</f>
        <v>0.02299999999999991</v>
      </c>
      <c r="W178" s="396">
        <f>IFERROR('Segment Analysis'!W13/'Segment Analysis'!R13-1,"N/A")</f>
        <v>0.02499999999999991</v>
      </c>
      <c r="X178" s="396">
        <v>0.024499999999999966</v>
      </c>
      <c r="Y178" s="395">
        <f>IFERROR('Segment Analysis'!Y13/'Segment Analysis'!T13-1,"N/A")</f>
        <v>0.015631246973365487</v>
      </c>
      <c r="Z178" s="396">
        <f>IFERROR('Segment Analysis'!Z13/'Segment Analysis'!U13-1,"N/A")</f>
        <v>0.030000000000000027</v>
      </c>
      <c r="AA178" s="396">
        <f>IFERROR('Segment Analysis'!AA13/'Segment Analysis'!V13-1,"N/A")</f>
        <v>0.030999999999999917</v>
      </c>
      <c r="AB178" s="396">
        <f>IFERROR('Segment Analysis'!AB13/'Segment Analysis'!W13-1,"N/A")</f>
        <v>0.03400000000000003</v>
      </c>
      <c r="AC178" s="396">
        <f>IFERROR('Segment Analysis'!AC13/'Segment Analysis'!X13-1,"N/A")</f>
        <v>0.03952293336884205</v>
      </c>
      <c r="AD178" s="395">
        <f>IFERROR('Segment Analysis'!AD13/'Segment Analysis'!Y13-1,"N/A")</f>
        <v>0.033516211205185664</v>
      </c>
      <c r="AE178" s="395">
        <f>IFERROR('Segment Analysis'!AE13/'Segment Analysis'!Z13-1,"N/A")</f>
        <v>3.0986265407591835</v>
      </c>
      <c r="AF178" s="395">
        <f>IFERROR('Segment Analysis'!AF13/'Segment Analysis'!AA13-1,"N/A")</f>
        <v>3.055464957096368</v>
      </c>
      <c r="AG178" s="395">
        <f>IFERROR('Segment Analysis'!AG13/'Segment Analysis'!AB13-1,"N/A")</f>
        <v>3.5088289673344963</v>
      </c>
    </row>
    <row r="179" ht="14.25" customHeight="1" spans="1:33" x14ac:dyDescent="0.25">
      <c r="C179" s="130" t="str">
        <f>'Segment Analysis'!C22</f>
        <v>Professional Services and Other</v>
      </c>
      <c r="D179" s="8"/>
      <c r="E179" s="8"/>
      <c r="F179" s="394" t="str">
        <f>IFERROR('Segment Analysis'!F14/'Segment Analysis'!A14-1,"N/A")</f>
        <v>N/A</v>
      </c>
      <c r="G179" s="394" t="str">
        <f>IFERROR('Segment Analysis'!G14/'Segment Analysis'!B14-1,"N/A")</f>
        <v>N/A</v>
      </c>
      <c r="H179" s="394" t="str">
        <f>IFERROR('Segment Analysis'!H14/'Segment Analysis'!C14-1,"N/A")</f>
        <v>N/A</v>
      </c>
      <c r="I179" s="394" t="str">
        <f>IFERROR('Segment Analysis'!I14/'Segment Analysis'!D14-1,"N/A")</f>
        <v>N/A</v>
      </c>
      <c r="J179" s="395"/>
      <c r="K179" s="394" t="str">
        <f>IFERROR('Segment Analysis'!K14/'Segment Analysis'!F14-1,"N/A")</f>
        <v>N/A</v>
      </c>
      <c r="L179" s="394" t="str">
        <f>IFERROR('Segment Analysis'!L14/'Segment Analysis'!G14-1,"N/A")</f>
        <v>N/A</v>
      </c>
      <c r="M179" s="394" t="str">
        <f>IFERROR('Segment Analysis'!M14/'Segment Analysis'!H14-1,"N/A")</f>
        <v>N/A</v>
      </c>
      <c r="N179" s="394" t="str">
        <f>IFERROR('Segment Analysis'!N14/'Segment Analysis'!I14-1,"N/A")</f>
        <v>N/A</v>
      </c>
      <c r="O179" s="395" t="str">
        <f>IFERROR('Segment Analysis'!O14/'Segment Analysis'!J14-1,"N/A")</f>
        <v>N/A</v>
      </c>
      <c r="P179" s="394" t="str">
        <f>IFERROR('Segment Analysis'!P14/'Segment Analysis'!K14-1,"N/A")</f>
        <v>N/A</v>
      </c>
      <c r="Q179" s="394" t="str">
        <f>IFERROR('Segment Analysis'!Q14/'Segment Analysis'!L14-1,"N/A")</f>
        <v>N/A</v>
      </c>
      <c r="R179" s="394" t="str">
        <f>IFERROR('Segment Analysis'!R14/'Segment Analysis'!M14-1,"N/A")</f>
        <v>N/A</v>
      </c>
      <c r="S179" s="394" t="str">
        <f>IFERROR('Segment Analysis'!S14/'Segment Analysis'!N14-1,"N/A")</f>
        <v>N/A</v>
      </c>
      <c r="T179" s="395" t="str">
        <f>IFERROR('Segment Analysis'!T14/'Segment Analysis'!O14-1,"N/A")</f>
        <v>N/A</v>
      </c>
      <c r="U179" s="396" t="str">
        <f>IFERROR('Segment Analysis'!U14/'Segment Analysis'!P14-1,"N/A")</f>
        <v>N/A</v>
      </c>
      <c r="V179" s="396" t="str">
        <f>IFERROR('Segment Analysis'!V14/'Segment Analysis'!Q14-1,"N/A")</f>
        <v>N/A</v>
      </c>
      <c r="W179" s="396" t="str">
        <f>IFERROR('Segment Analysis'!W14/'Segment Analysis'!R14-1,"N/A")</f>
        <v>N/A</v>
      </c>
      <c r="X179" s="396" t="s">
        <v>457</v>
      </c>
      <c r="Y179" s="395" t="str">
        <f>IFERROR('Segment Analysis'!Y14/'Segment Analysis'!T14-1,"N/A")</f>
        <v>N/A</v>
      </c>
      <c r="Z179" s="396" t="str">
        <f>IFERROR('Segment Analysis'!Z14/'Segment Analysis'!U14-1,"N/A")</f>
        <v>N/A</v>
      </c>
      <c r="AA179" s="396" t="str">
        <f>IFERROR('Segment Analysis'!AA14/'Segment Analysis'!V14-1,"N/A")</f>
        <v>N/A</v>
      </c>
      <c r="AB179" s="396" t="str">
        <f>IFERROR('Segment Analysis'!AB14/'Segment Analysis'!W14-1,"N/A")</f>
        <v>N/A</v>
      </c>
      <c r="AC179" s="396" t="str">
        <f>IFERROR('Segment Analysis'!AC14/'Segment Analysis'!X14-1,"N/A")</f>
        <v>N/A</v>
      </c>
      <c r="AD179" s="395" t="str">
        <f>IFERROR('Segment Analysis'!AD14/'Segment Analysis'!Y14-1,"N/A")</f>
        <v>N/A</v>
      </c>
      <c r="AE179" s="395" t="str">
        <f>IFERROR('Segment Analysis'!AE14/'Segment Analysis'!Z14-1,"N/A")</f>
        <v>N/A</v>
      </c>
      <c r="AF179" s="395" t="str">
        <f>IFERROR('Segment Analysis'!AF14/'Segment Analysis'!AA14-1,"N/A")</f>
        <v>N/A</v>
      </c>
      <c r="AG179" s="395" t="str">
        <f>IFERROR('Segment Analysis'!AG14/'Segment Analysis'!AB14-1,"N/A")</f>
        <v>N/A</v>
      </c>
    </row>
    <row r="180" ht="14.25" customHeight="1" spans="1:33" x14ac:dyDescent="0.25">
      <c r="C180" s="8"/>
      <c r="D180" s="8"/>
      <c r="E180" s="8"/>
      <c r="F180" s="312"/>
      <c r="G180" s="312"/>
      <c r="H180" s="312"/>
      <c r="I180" s="312"/>
      <c r="J180" s="160"/>
      <c r="K180" s="312"/>
      <c r="L180" s="312"/>
      <c r="M180" s="312"/>
      <c r="N180" s="312"/>
      <c r="O180" s="160"/>
      <c r="P180" s="312"/>
      <c r="Q180" s="312"/>
      <c r="R180" s="312"/>
      <c r="S180" s="312"/>
      <c r="T180" s="160"/>
      <c r="U180" s="315"/>
      <c r="V180" s="315"/>
      <c r="W180" s="315"/>
      <c r="X180" s="315"/>
      <c r="Y180" s="160"/>
      <c r="Z180" s="315"/>
      <c r="AA180" s="315"/>
      <c r="AB180" s="315"/>
      <c r="AC180" s="315"/>
      <c r="AD180" s="160"/>
      <c r="AE180" s="160"/>
      <c r="AF180" s="160"/>
      <c r="AG180" s="160"/>
    </row>
    <row r="181" ht="14.25" customHeight="1" spans="1:33" x14ac:dyDescent="0.25">
      <c r="C181" s="130" t="str">
        <f>C90</f>
        <v>North America</v>
      </c>
      <c r="D181" s="8"/>
      <c r="E181" s="8"/>
      <c r="F181" s="394" t="str">
        <f t="shared" ref="F181:I185" si="118">IFERROR(F90/A90-1,"N/A")</f>
        <v>N/A</v>
      </c>
      <c r="G181" s="394" t="str">
        <f t="shared" si="118"/>
        <v>N/A</v>
      </c>
      <c r="H181" s="394" t="str">
        <f t="shared" si="118"/>
        <v>N/A</v>
      </c>
      <c r="I181" s="394" t="str">
        <f t="shared" si="118"/>
        <v>N/A</v>
      </c>
      <c r="J181" s="160"/>
      <c r="K181" s="394" t="str">
        <f t="shared" ref="K181:N185" si="119">IFERROR(K90/F90-1,"N/A")</f>
        <v>N/A</v>
      </c>
      <c r="L181" s="394" t="str">
        <f t="shared" si="119"/>
        <v>N/A</v>
      </c>
      <c r="M181" s="394" t="str">
        <f t="shared" si="119"/>
        <v>N/A</v>
      </c>
      <c r="N181" s="394" t="str">
        <f t="shared" si="119"/>
        <v>N/A</v>
      </c>
      <c r="O181" s="395" t="str">
        <f t="shared" ref="O181:AG181" si="120">IFERROR(O90/J90-1,"N/A")</f>
        <v>N/A</v>
      </c>
      <c r="P181" s="394" t="str">
        <f t="shared" ref="P181:Q185" si="121">IFERROR(P90/K90-1,"N/A")</f>
        <v>N/A</v>
      </c>
      <c r="Q181" s="394" t="str">
        <f t="shared" si="121"/>
        <v>N/A</v>
      </c>
      <c r="R181" s="394" t="str">
        <f t="shared" ref="R181:S185" si="122">IFERROR(R90/M90-1,"N/A")</f>
        <v>N/A</v>
      </c>
      <c r="S181" s="394" t="str">
        <f t="shared" si="122"/>
        <v>N/A</v>
      </c>
      <c r="T181" s="395" t="str">
        <f t="shared" si="120"/>
        <v>N/A</v>
      </c>
      <c r="U181" s="396" t="str">
        <f t="shared" si="120"/>
        <v>N/A</v>
      </c>
      <c r="V181" s="396" t="str">
        <f t="shared" si="120"/>
        <v>N/A</v>
      </c>
      <c r="W181" s="396" t="str">
        <f t="shared" si="120"/>
        <v>N/A</v>
      </c>
      <c r="X181" s="396" t="s">
        <v>457</v>
      </c>
      <c r="Y181" s="395" t="str">
        <f t="shared" si="120"/>
        <v>N/A</v>
      </c>
      <c r="Z181" s="396" t="str">
        <f t="shared" si="120"/>
        <v>N/A</v>
      </c>
      <c r="AA181" s="396" t="str">
        <f t="shared" si="120"/>
        <v>N/A</v>
      </c>
      <c r="AB181" s="396" t="str">
        <f t="shared" si="120"/>
        <v>N/A</v>
      </c>
      <c r="AC181" s="396" t="str">
        <f t="shared" si="120"/>
        <v>N/A</v>
      </c>
      <c r="AD181" s="395" t="str">
        <f t="shared" si="120"/>
        <v>N/A</v>
      </c>
      <c r="AE181" s="395" t="str">
        <f t="shared" si="120"/>
        <v>N/A</v>
      </c>
      <c r="AF181" s="395" t="str">
        <f t="shared" si="120"/>
        <v>N/A</v>
      </c>
      <c r="AG181" s="395" t="str">
        <f t="shared" si="120"/>
        <v>N/A</v>
      </c>
    </row>
    <row r="182" ht="14.25" customHeight="1" spans="1:33" x14ac:dyDescent="0.25">
      <c r="C182" s="130" t="str">
        <f>C91</f>
        <v>Europe</v>
      </c>
      <c r="D182" s="8"/>
      <c r="E182" s="8"/>
      <c r="F182" s="394" t="str">
        <f t="shared" si="118"/>
        <v>N/A</v>
      </c>
      <c r="G182" s="394" t="str">
        <f t="shared" si="118"/>
        <v>N/A</v>
      </c>
      <c r="H182" s="394" t="str">
        <f t="shared" si="118"/>
        <v>N/A</v>
      </c>
      <c r="I182" s="394" t="str">
        <f t="shared" si="118"/>
        <v>N/A</v>
      </c>
      <c r="J182" s="160"/>
      <c r="K182" s="394" t="str">
        <f t="shared" si="119"/>
        <v>N/A</v>
      </c>
      <c r="L182" s="394" t="str">
        <f t="shared" si="119"/>
        <v>N/A</v>
      </c>
      <c r="M182" s="394" t="str">
        <f t="shared" si="119"/>
        <v>N/A</v>
      </c>
      <c r="N182" s="394" t="str">
        <f t="shared" si="119"/>
        <v>N/A</v>
      </c>
      <c r="O182" s="395" t="str">
        <f t="shared" ref="O182:AG182" si="123">IFERROR(O91/J91-1,"N/A")</f>
        <v>N/A</v>
      </c>
      <c r="P182" s="394" t="str">
        <f t="shared" si="121"/>
        <v>N/A</v>
      </c>
      <c r="Q182" s="394" t="str">
        <f t="shared" si="121"/>
        <v>N/A</v>
      </c>
      <c r="R182" s="394" t="str">
        <f t="shared" si="122"/>
        <v>N/A</v>
      </c>
      <c r="S182" s="394" t="str">
        <f t="shared" si="122"/>
        <v>N/A</v>
      </c>
      <c r="T182" s="395" t="str">
        <f t="shared" si="123"/>
        <v>N/A</v>
      </c>
      <c r="U182" s="396" t="str">
        <f t="shared" si="123"/>
        <v>N/A</v>
      </c>
      <c r="V182" s="396" t="str">
        <f t="shared" si="123"/>
        <v>N/A</v>
      </c>
      <c r="W182" s="396" t="str">
        <f t="shared" si="123"/>
        <v>N/A</v>
      </c>
      <c r="X182" s="396" t="s">
        <v>457</v>
      </c>
      <c r="Y182" s="395" t="str">
        <f t="shared" si="123"/>
        <v>N/A</v>
      </c>
      <c r="Z182" s="396" t="str">
        <f t="shared" si="123"/>
        <v>N/A</v>
      </c>
      <c r="AA182" s="396" t="str">
        <f t="shared" si="123"/>
        <v>N/A</v>
      </c>
      <c r="AB182" s="396" t="str">
        <f t="shared" si="123"/>
        <v>N/A</v>
      </c>
      <c r="AC182" s="396" t="str">
        <f t="shared" si="123"/>
        <v>N/A</v>
      </c>
      <c r="AD182" s="395" t="str">
        <f t="shared" si="123"/>
        <v>N/A</v>
      </c>
      <c r="AE182" s="395" t="str">
        <f t="shared" si="123"/>
        <v>N/A</v>
      </c>
      <c r="AF182" s="395" t="str">
        <f t="shared" si="123"/>
        <v>N/A</v>
      </c>
      <c r="AG182" s="395" t="str">
        <f t="shared" si="123"/>
        <v>N/A</v>
      </c>
    </row>
    <row r="183" ht="14.25" customHeight="1" spans="1:33" x14ac:dyDescent="0.25" outlineLevel="1" collapsed="1">
      <c r="C183" s="130" t="str">
        <f>C92</f>
        <v>South America</v>
      </c>
      <c r="D183" s="8"/>
      <c r="E183" s="8"/>
      <c r="F183" s="394" t="str">
        <f t="shared" si="118"/>
        <v>N/A</v>
      </c>
      <c r="G183" s="394" t="str">
        <f t="shared" si="118"/>
        <v>N/A</v>
      </c>
      <c r="H183" s="394" t="str">
        <f t="shared" si="118"/>
        <v>N/A</v>
      </c>
      <c r="I183" s="394" t="str">
        <f t="shared" si="118"/>
        <v>N/A</v>
      </c>
      <c r="J183" s="160"/>
      <c r="K183" s="394" t="str">
        <f t="shared" si="119"/>
        <v>N/A</v>
      </c>
      <c r="L183" s="394" t="str">
        <f t="shared" si="119"/>
        <v>N/A</v>
      </c>
      <c r="M183" s="394" t="str">
        <f t="shared" si="119"/>
        <v>N/A</v>
      </c>
      <c r="N183" s="394" t="str">
        <f t="shared" si="119"/>
        <v>N/A</v>
      </c>
      <c r="O183" s="395" t="str">
        <f t="shared" ref="O183:AG183" si="124">IFERROR(O92/J92-1,"N/A")</f>
        <v>N/A</v>
      </c>
      <c r="P183" s="394" t="str">
        <f t="shared" si="121"/>
        <v>N/A</v>
      </c>
      <c r="Q183" s="394" t="str">
        <f t="shared" si="121"/>
        <v>N/A</v>
      </c>
      <c r="R183" s="394" t="str">
        <f t="shared" si="122"/>
        <v>N/A</v>
      </c>
      <c r="S183" s="394" t="str">
        <f t="shared" si="122"/>
        <v>N/A</v>
      </c>
      <c r="T183" s="395" t="str">
        <f t="shared" si="124"/>
        <v>N/A</v>
      </c>
      <c r="U183" s="396" t="str">
        <f t="shared" si="124"/>
        <v>N/A</v>
      </c>
      <c r="V183" s="396" t="str">
        <f t="shared" si="124"/>
        <v>N/A</v>
      </c>
      <c r="W183" s="396" t="str">
        <f t="shared" si="124"/>
        <v>N/A</v>
      </c>
      <c r="X183" s="396" t="s">
        <v>457</v>
      </c>
      <c r="Y183" s="395" t="str">
        <f t="shared" si="124"/>
        <v>N/A</v>
      </c>
      <c r="Z183" s="396" t="str">
        <f t="shared" si="124"/>
        <v>N/A</v>
      </c>
      <c r="AA183" s="396" t="str">
        <f t="shared" si="124"/>
        <v>N/A</v>
      </c>
      <c r="AB183" s="396" t="str">
        <f t="shared" si="124"/>
        <v>N/A</v>
      </c>
      <c r="AC183" s="396" t="str">
        <f t="shared" si="124"/>
        <v>N/A</v>
      </c>
      <c r="AD183" s="395" t="str">
        <f t="shared" si="124"/>
        <v>N/A</v>
      </c>
      <c r="AE183" s="395" t="str">
        <f t="shared" si="124"/>
        <v>N/A</v>
      </c>
      <c r="AF183" s="395" t="str">
        <f t="shared" si="124"/>
        <v>N/A</v>
      </c>
      <c r="AG183" s="395" t="str">
        <f t="shared" si="124"/>
        <v>N/A</v>
      </c>
    </row>
    <row r="184" ht="14.25" customHeight="1" spans="1:33" x14ac:dyDescent="0.25" outlineLevel="1" collapsed="1">
      <c r="C184" s="130" t="str">
        <f>C93</f>
        <v>Middle East &amp; Africa</v>
      </c>
      <c r="D184" s="8"/>
      <c r="E184" s="8"/>
      <c r="F184" s="394" t="str">
        <f t="shared" si="118"/>
        <v>N/A</v>
      </c>
      <c r="G184" s="394" t="str">
        <f t="shared" si="118"/>
        <v>N/A</v>
      </c>
      <c r="H184" s="394" t="str">
        <f t="shared" si="118"/>
        <v>N/A</v>
      </c>
      <c r="I184" s="394" t="str">
        <f t="shared" si="118"/>
        <v>N/A</v>
      </c>
      <c r="J184" s="160"/>
      <c r="K184" s="394" t="str">
        <f t="shared" si="119"/>
        <v>N/A</v>
      </c>
      <c r="L184" s="394" t="str">
        <f t="shared" si="119"/>
        <v>N/A</v>
      </c>
      <c r="M184" s="394" t="str">
        <f t="shared" si="119"/>
        <v>N/A</v>
      </c>
      <c r="N184" s="394" t="str">
        <f t="shared" si="119"/>
        <v>N/A</v>
      </c>
      <c r="O184" s="395" t="str">
        <f t="shared" ref="O184:AG184" si="125">IFERROR(O93/J93-1,"N/A")</f>
        <v>N/A</v>
      </c>
      <c r="P184" s="394" t="str">
        <f t="shared" si="121"/>
        <v>N/A</v>
      </c>
      <c r="Q184" s="394" t="str">
        <f t="shared" si="121"/>
        <v>N/A</v>
      </c>
      <c r="R184" s="394" t="str">
        <f t="shared" si="122"/>
        <v>N/A</v>
      </c>
      <c r="S184" s="394" t="str">
        <f t="shared" si="122"/>
        <v>N/A</v>
      </c>
      <c r="T184" s="395" t="str">
        <f t="shared" si="125"/>
        <v>N/A</v>
      </c>
      <c r="U184" s="396" t="str">
        <f t="shared" si="125"/>
        <v>N/A</v>
      </c>
      <c r="V184" s="396" t="str">
        <f t="shared" si="125"/>
        <v>N/A</v>
      </c>
      <c r="W184" s="396" t="str">
        <f t="shared" si="125"/>
        <v>N/A</v>
      </c>
      <c r="X184" s="396" t="s">
        <v>457</v>
      </c>
      <c r="Y184" s="395" t="str">
        <f t="shared" si="125"/>
        <v>N/A</v>
      </c>
      <c r="Z184" s="396" t="str">
        <f t="shared" si="125"/>
        <v>N/A</v>
      </c>
      <c r="AA184" s="396" t="str">
        <f t="shared" si="125"/>
        <v>N/A</v>
      </c>
      <c r="AB184" s="396" t="str">
        <f t="shared" si="125"/>
        <v>N/A</v>
      </c>
      <c r="AC184" s="396" t="str">
        <f t="shared" si="125"/>
        <v>N/A</v>
      </c>
      <c r="AD184" s="395" t="str">
        <f t="shared" si="125"/>
        <v>N/A</v>
      </c>
      <c r="AE184" s="395" t="str">
        <f t="shared" si="125"/>
        <v>N/A</v>
      </c>
      <c r="AF184" s="395" t="str">
        <f t="shared" si="125"/>
        <v>N/A</v>
      </c>
      <c r="AG184" s="395" t="str">
        <f t="shared" si="125"/>
        <v>N/A</v>
      </c>
    </row>
    <row r="185" ht="14.25" customHeight="1" spans="1:33" x14ac:dyDescent="0.25" outlineLevel="1" collapsed="1">
      <c r="C185" s="130" t="str">
        <f>C94</f>
        <v>Asia Pacific</v>
      </c>
      <c r="D185" s="8"/>
      <c r="E185" s="8"/>
      <c r="F185" s="394" t="str">
        <f t="shared" si="118"/>
        <v>N/A</v>
      </c>
      <c r="G185" s="394" t="str">
        <f t="shared" si="118"/>
        <v>N/A</v>
      </c>
      <c r="H185" s="394" t="str">
        <f t="shared" si="118"/>
        <v>N/A</v>
      </c>
      <c r="I185" s="394" t="str">
        <f t="shared" si="118"/>
        <v>N/A</v>
      </c>
      <c r="J185" s="160"/>
      <c r="K185" s="394" t="str">
        <f t="shared" si="119"/>
        <v>N/A</v>
      </c>
      <c r="L185" s="394" t="str">
        <f t="shared" si="119"/>
        <v>N/A</v>
      </c>
      <c r="M185" s="394" t="str">
        <f t="shared" si="119"/>
        <v>N/A</v>
      </c>
      <c r="N185" s="394" t="str">
        <f t="shared" si="119"/>
        <v>N/A</v>
      </c>
      <c r="O185" s="395" t="str">
        <f t="shared" ref="O185:AG185" si="126">IFERROR(O94/J94-1,"N/A")</f>
        <v>N/A</v>
      </c>
      <c r="P185" s="394" t="str">
        <f t="shared" si="121"/>
        <v>N/A</v>
      </c>
      <c r="Q185" s="394" t="str">
        <f t="shared" si="121"/>
        <v>N/A</v>
      </c>
      <c r="R185" s="394" t="str">
        <f t="shared" si="122"/>
        <v>N/A</v>
      </c>
      <c r="S185" s="394" t="str">
        <f t="shared" si="122"/>
        <v>N/A</v>
      </c>
      <c r="T185" s="395" t="str">
        <f t="shared" si="126"/>
        <v>N/A</v>
      </c>
      <c r="U185" s="396" t="str">
        <f t="shared" si="126"/>
        <v>N/A</v>
      </c>
      <c r="V185" s="396" t="str">
        <f t="shared" si="126"/>
        <v>N/A</v>
      </c>
      <c r="W185" s="396" t="str">
        <f t="shared" si="126"/>
        <v>N/A</v>
      </c>
      <c r="X185" s="396" t="s">
        <v>457</v>
      </c>
      <c r="Y185" s="395" t="str">
        <f t="shared" si="126"/>
        <v>N/A</v>
      </c>
      <c r="Z185" s="396" t="str">
        <f t="shared" si="126"/>
        <v>N/A</v>
      </c>
      <c r="AA185" s="396" t="str">
        <f t="shared" si="126"/>
        <v>N/A</v>
      </c>
      <c r="AB185" s="396" t="str">
        <f t="shared" si="126"/>
        <v>N/A</v>
      </c>
      <c r="AC185" s="396" t="str">
        <f t="shared" si="126"/>
        <v>N/A</v>
      </c>
      <c r="AD185" s="395" t="str">
        <f t="shared" si="126"/>
        <v>N/A</v>
      </c>
      <c r="AE185" s="395" t="str">
        <f t="shared" si="126"/>
        <v>N/A</v>
      </c>
      <c r="AF185" s="395" t="str">
        <f t="shared" si="126"/>
        <v>N/A</v>
      </c>
      <c r="AG185" s="395" t="str">
        <f t="shared" si="126"/>
        <v>N/A</v>
      </c>
    </row>
    <row r="186" ht="14.25" customHeight="1" spans="1:33" x14ac:dyDescent="0.25" outlineLevel="1" collapsed="1">
      <c r="C186" s="8"/>
      <c r="D186" s="8"/>
      <c r="E186" s="8"/>
      <c r="F186" s="312"/>
      <c r="G186" s="312"/>
      <c r="H186" s="312"/>
      <c r="I186" s="312"/>
      <c r="J186" s="160"/>
      <c r="K186" s="312"/>
      <c r="L186" s="312"/>
      <c r="M186" s="312"/>
      <c r="N186" s="312"/>
      <c r="O186" s="160"/>
      <c r="P186" s="312"/>
      <c r="Q186" s="312"/>
      <c r="R186" s="312"/>
      <c r="S186" s="312"/>
      <c r="T186" s="160"/>
      <c r="U186" s="315"/>
      <c r="V186" s="315"/>
      <c r="W186" s="315"/>
      <c r="X186" s="315"/>
      <c r="Y186" s="160"/>
      <c r="Z186" s="315"/>
      <c r="AA186" s="315"/>
      <c r="AB186" s="315"/>
      <c r="AC186" s="315"/>
      <c r="AD186" s="160"/>
      <c r="AE186" s="160"/>
      <c r="AF186" s="160"/>
      <c r="AG186" s="160"/>
    </row>
    <row r="187" ht="14.25" customHeight="1" spans="1:33" x14ac:dyDescent="0.25" outlineLevel="1" collapsed="1">
      <c r="C187" s="8" t="s">
        <v>478</v>
      </c>
      <c r="D187" s="8"/>
      <c r="E187" s="8"/>
      <c r="F187" s="394" t="str">
        <f>IFERROR(Model!F36/Model!A36-1,"N/A")</f>
        <v>N/A</v>
      </c>
      <c r="G187" s="394" t="str">
        <f>IFERROR(Model!G36/Model!B36-1,"N/A")</f>
        <v>N/A</v>
      </c>
      <c r="H187" s="394" t="str">
        <f>IFERROR(Model!H36/Model!C36-1,"N/A")</f>
        <v>N/A</v>
      </c>
      <c r="I187" s="394" t="str">
        <f>IFERROR(Model!I36/Model!D36-1,"N/A")</f>
        <v>N/A</v>
      </c>
      <c r="J187" s="395"/>
      <c r="K187" s="394">
        <f>IFERROR(Model!K36/Model!F36-1,"N/A")</f>
        <v>0.0783558124598589</v>
      </c>
      <c r="L187" s="394">
        <f>IFERROR(Model!L36/Model!G36-1,"N/A")</f>
        <v>0.08644891167234725</v>
      </c>
      <c r="M187" s="394">
        <f>IFERROR(Model!M36/Model!H36-1,"N/A")</f>
        <v>0.06542251496379947</v>
      </c>
      <c r="N187" s="394">
        <f>IFERROR(Model!N36/Model!I36-1,"N/A")</f>
        <v>0.0559557365069423</v>
      </c>
      <c r="O187" s="395">
        <f>IFERROR(Model!O36/Model!J36-1,"N/A")</f>
        <v>0.07132881152059878</v>
      </c>
      <c r="P187" s="394">
        <f>IFERROR(Model!P36/Model!K36-1,"N/A")</f>
        <v>0.0381438226687727</v>
      </c>
      <c r="Q187" s="394">
        <f>IFERROR(Model!Q36/Model!L36-1,"N/A")</f>
        <v>0.04619565217391308</v>
      </c>
      <c r="R187" s="394">
        <f>IFERROR(Model!R36/Model!M36-1,"N/A")</f>
        <v>0.03331534272116188</v>
      </c>
      <c r="S187" s="394">
        <f>IFERROR(Model!S36/Model!N36-1,"N/A")</f>
        <v>0.022244191794364765</v>
      </c>
      <c r="T187" s="395">
        <f>IFERROR(Model!T36/Model!O36-1,"N/A")</f>
        <v>0.03493659516339287</v>
      </c>
      <c r="U187" s="396">
        <f>IFERROR(Model!U36/Model!P36-1,"N/A")</f>
        <v>0.03582713893739098</v>
      </c>
      <c r="V187" s="396">
        <f>IFERROR(Model!V36/Model!Q36-1,"N/A")</f>
        <v>0.03411711924439187</v>
      </c>
      <c r="W187" s="396">
        <f>IFERROR(Model!W36/Model!R36-1,"N/A")</f>
        <v>0.0347070275403607</v>
      </c>
      <c r="X187" s="396">
        <v>0.15356757334474325</v>
      </c>
      <c r="Y187" s="395">
        <f>IFERROR(Model!Y36/Model!T36-1,"N/A")</f>
        <v>0.045503383239805295</v>
      </c>
      <c r="Z187" s="396">
        <f>IFERROR(Model!Z36/Model!U36-1,"N/A")</f>
        <v>-0.0632603676825052</v>
      </c>
      <c r="AA187" s="396">
        <f>IFERROR(Model!AA36/Model!V36-1,"N/A")</f>
        <v>-0.030564327479355224</v>
      </c>
      <c r="AB187" s="396">
        <f>IFERROR(Model!AB36/Model!W36-1,"N/A")</f>
        <v>-0.0006025499931919809</v>
      </c>
      <c r="AC187" s="396">
        <f>IFERROR(Model!AC36/Model!X36-1,"N/A")</f>
        <v>0.06323170052535776</v>
      </c>
      <c r="AD187" s="395">
        <f>IFERROR(Model!AD36/Model!Y36-1,"N/A")</f>
        <v>-0.009073511261334155</v>
      </c>
      <c r="AE187" s="395">
        <f>IFERROR(Model!AE36/Model!Z36-1,"N/A")</f>
        <v>3.6788223796147568</v>
      </c>
      <c r="AF187" s="395">
        <f>IFERROR(Model!AF36/Model!AA36-1,"N/A")</f>
        <v>3.428791360355463</v>
      </c>
      <c r="AG187" s="395">
        <f>IFERROR(Model!AG36/Model!AB36-1,"N/A")</f>
        <v>3.6254967377584375</v>
      </c>
    </row>
    <row r="188" ht="14.25" customHeight="1" spans="1:33" x14ac:dyDescent="0.25">
      <c r="C188" s="8"/>
      <c r="D188" s="8"/>
      <c r="E188" s="8"/>
      <c r="F188" s="312"/>
      <c r="G188" s="312"/>
      <c r="H188" s="312"/>
      <c r="I188" s="312"/>
      <c r="J188" s="160"/>
      <c r="K188" s="312"/>
      <c r="L188" s="312"/>
      <c r="M188" s="312"/>
      <c r="N188" s="312"/>
      <c r="O188" s="160"/>
      <c r="P188" s="312"/>
      <c r="Q188" s="312"/>
      <c r="R188" s="312"/>
      <c r="S188" s="312"/>
      <c r="T188" s="160"/>
      <c r="U188" s="315"/>
      <c r="V188" s="315"/>
      <c r="W188" s="315"/>
      <c r="X188" s="315"/>
      <c r="Y188" s="160"/>
      <c r="Z188" s="315"/>
      <c r="AA188" s="315"/>
      <c r="AB188" s="315"/>
      <c r="AC188" s="315"/>
      <c r="AD188" s="160"/>
      <c r="AE188" s="160"/>
      <c r="AF188" s="160"/>
      <c r="AG188" s="160"/>
    </row>
    <row r="189" ht="14.25" customHeight="1" spans="1:33" x14ac:dyDescent="0.25">
      <c r="C189" s="8" t="s">
        <v>479</v>
      </c>
      <c r="D189" s="8"/>
      <c r="E189" s="8"/>
      <c r="F189" s="394" t="str">
        <f>IFERROR(Model!F61/Model!A61-1,"N/A")</f>
        <v>N/A</v>
      </c>
      <c r="G189" s="394" t="str">
        <f>IFERROR(Model!G61/Model!B61-1,"N/A")</f>
        <v>N/A</v>
      </c>
      <c r="H189" s="394" t="str">
        <f>IFERROR(Model!H61/Model!C61-1,"N/A")</f>
        <v>N/A</v>
      </c>
      <c r="I189" s="394" t="str">
        <f>IFERROR(Model!I61/Model!D61-1,"N/A")</f>
        <v>N/A</v>
      </c>
      <c r="J189" s="395"/>
      <c r="K189" s="394">
        <f>IFERROR(Model!K61/Model!F61-1,"N/A")</f>
        <v>0.0783558124598589</v>
      </c>
      <c r="L189" s="394">
        <f>IFERROR(Model!L61/Model!G61-1,"N/A")</f>
        <v>0.08644891167234725</v>
      </c>
      <c r="M189" s="394">
        <f>IFERROR(Model!M61/Model!H61-1,"N/A")</f>
        <v>0.06542251496379947</v>
      </c>
      <c r="N189" s="394">
        <f>IFERROR(Model!N61/Model!I61-1,"N/A")</f>
        <v>0.0559557365069423</v>
      </c>
      <c r="O189" s="395">
        <f>IFERROR(Model!O61/Model!J61-1,"N/A")</f>
        <v>0.07132881152059878</v>
      </c>
      <c r="P189" s="394">
        <f>IFERROR(Model!P61/Model!K61-1,"N/A")</f>
        <v>0.0381438226687727</v>
      </c>
      <c r="Q189" s="394">
        <f>IFERROR(Model!Q61/Model!L61-1,"N/A")</f>
        <v>0.04619565217391308</v>
      </c>
      <c r="R189" s="394">
        <f>IFERROR(Model!R61/Model!M61-1,"N/A")</f>
        <v>0.03331534272116188</v>
      </c>
      <c r="S189" s="394">
        <f>IFERROR(Model!S61/Model!N61-1,"N/A")</f>
        <v>0.022244191794364765</v>
      </c>
      <c r="T189" s="395">
        <f>IFERROR(Model!T61/Model!O61-1,"N/A")</f>
        <v>0.03493659516339287</v>
      </c>
      <c r="U189" s="396">
        <f>IFERROR(Model!U61/Model!P61-1,"N/A")</f>
        <v>0.03582713893739098</v>
      </c>
      <c r="V189" s="396">
        <f>IFERROR(Model!V61/Model!Q61-1,"N/A")</f>
        <v>0.03411711924439187</v>
      </c>
      <c r="W189" s="396">
        <f>IFERROR(Model!W61/Model!R61-1,"N/A")</f>
        <v>0.0347070275403607</v>
      </c>
      <c r="X189" s="396">
        <v>0.10110799628396228</v>
      </c>
      <c r="Y189" s="395">
        <f>IFERROR(Model!Y61/Model!T61-1,"N/A")</f>
        <v>0.06067700637507456</v>
      </c>
      <c r="Z189" s="396">
        <f>IFERROR(Model!Z61/Model!U61-1,"N/A")</f>
        <v>-0.006261781738395311</v>
      </c>
      <c r="AA189" s="396">
        <f>IFERROR(Model!AA61/Model!V61-1,"N/A")</f>
        <v>-0.0053125967915252925</v>
      </c>
      <c r="AB189" s="396">
        <f>IFERROR(Model!AB61/Model!W61-1,"N/A")</f>
        <v>0.018775316371377526</v>
      </c>
      <c r="AC189" s="396">
        <f>IFERROR(Model!AC61/Model!X61-1,"N/A")</f>
        <v>0.035869538864386374</v>
      </c>
      <c r="AD189" s="395">
        <f>IFERROR(Model!AD61/Model!Y61-1,"N/A")</f>
        <v>0.010635644736944228</v>
      </c>
      <c r="AE189" s="395">
        <f>IFERROR(Model!AE61/Model!Z61-1,"N/A")</f>
        <v>3.465213507897607</v>
      </c>
      <c r="AF189" s="395">
        <f>IFERROR(Model!AF61/Model!AA61-1,"N/A")</f>
        <v>3.3830408889270993</v>
      </c>
      <c r="AG189" s="395">
        <f>IFERROR(Model!AG61/Model!AB61-1,"N/A")</f>
        <v>3.5844009169262936</v>
      </c>
    </row>
    <row r="190" ht="14.25" customHeight="1" spans="1:33" x14ac:dyDescent="0.25">
      <c r="C190" s="8"/>
      <c r="D190" s="8"/>
      <c r="E190" s="8"/>
      <c r="F190" s="312"/>
      <c r="G190" s="312"/>
      <c r="H190" s="312"/>
      <c r="I190" s="312"/>
      <c r="J190" s="160"/>
      <c r="K190" s="312"/>
      <c r="L190" s="312"/>
      <c r="M190" s="312"/>
      <c r="N190" s="312"/>
      <c r="O190" s="160"/>
      <c r="P190" s="312"/>
      <c r="Q190" s="312"/>
      <c r="R190" s="312"/>
      <c r="S190" s="312"/>
      <c r="T190" s="160"/>
      <c r="U190" s="315"/>
      <c r="V190" s="315"/>
      <c r="W190" s="315"/>
      <c r="X190" s="315"/>
      <c r="Y190" s="160"/>
      <c r="Z190" s="315"/>
      <c r="AA190" s="315"/>
      <c r="AB190" s="315"/>
      <c r="AC190" s="315"/>
      <c r="AD190" s="160"/>
      <c r="AE190" s="160"/>
      <c r="AF190" s="160"/>
      <c r="AG190" s="160"/>
    </row>
    <row r="191" ht="14.25" customHeight="1" spans="1:33" x14ac:dyDescent="0.25">
      <c r="C191" s="36" t="s">
        <v>480</v>
      </c>
      <c r="D191" s="37"/>
      <c r="E191" s="37"/>
      <c r="F191" s="524"/>
      <c r="G191" s="524"/>
      <c r="H191" s="524"/>
      <c r="I191" s="524"/>
      <c r="J191" s="524"/>
      <c r="K191" s="524"/>
      <c r="L191" s="524"/>
      <c r="M191" s="524"/>
      <c r="N191" s="524"/>
      <c r="O191" s="524"/>
      <c r="P191" s="524"/>
      <c r="Q191" s="524"/>
      <c r="R191" s="524"/>
      <c r="S191" s="524"/>
      <c r="T191" s="524"/>
      <c r="U191" s="524"/>
      <c r="V191" s="524"/>
      <c r="W191" s="524"/>
      <c r="X191" s="524"/>
      <c r="Y191" s="524"/>
      <c r="Z191" s="524"/>
      <c r="AA191" s="524"/>
      <c r="AB191" s="524"/>
      <c r="AC191" s="524"/>
      <c r="AD191" s="524"/>
      <c r="AE191" s="524"/>
      <c r="AF191" s="524"/>
      <c r="AG191" s="525"/>
    </row>
    <row r="192" ht="14.25" customHeight="1" spans="1:33" x14ac:dyDescent="0.25">
      <c r="C192" s="8"/>
      <c r="D192" s="8"/>
      <c r="E192" s="8"/>
      <c r="F192" s="312"/>
      <c r="G192" s="312"/>
      <c r="H192" s="312"/>
      <c r="I192" s="312"/>
      <c r="J192" s="160"/>
      <c r="K192" s="312"/>
      <c r="L192" s="312"/>
      <c r="M192" s="312"/>
      <c r="N192" s="312"/>
      <c r="O192" s="160"/>
      <c r="P192" s="312"/>
      <c r="Q192" s="312"/>
      <c r="R192" s="312"/>
      <c r="S192" s="312"/>
      <c r="T192" s="160"/>
      <c r="U192" s="315"/>
      <c r="V192" s="315"/>
      <c r="W192" s="315"/>
      <c r="X192" s="315"/>
      <c r="Y192" s="160"/>
      <c r="Z192" s="315"/>
      <c r="AA192" s="315"/>
      <c r="AB192" s="315"/>
      <c r="AC192" s="315"/>
      <c r="AD192" s="160"/>
      <c r="AE192" s="160"/>
      <c r="AF192" s="160"/>
      <c r="AG192" s="160"/>
    </row>
    <row r="193" ht="14.25" customHeight="1" spans="1:33" x14ac:dyDescent="0.25">
      <c r="C193" s="8" t="s">
        <v>477</v>
      </c>
      <c r="D193" s="8"/>
      <c r="E193" s="8"/>
      <c r="F193" s="394" t="str">
        <f>IFERROR('Segment Analysis'!F8/'Segment Analysis'!D8-1,"N/A")</f>
        <v>N/A</v>
      </c>
      <c r="G193" s="394">
        <f>IFERROR('Segment Analysis'!G8/'Segment Analysis'!F8-1,"N/A")</f>
        <v>0.04043450336488785</v>
      </c>
      <c r="H193" s="394">
        <f>IFERROR('Segment Analysis'!H8/'Segment Analysis'!G8-1,"N/A")</f>
        <v>0.026839152956332546</v>
      </c>
      <c r="I193" s="394">
        <f>IFERROR('Segment Analysis'!I8/'Segment Analysis'!H8-1,"N/A")</f>
        <v>0.0014898455265426325</v>
      </c>
      <c r="J193" s="395"/>
      <c r="K193" s="394">
        <f>IFERROR('Segment Analysis'!K8/'Segment Analysis'!I8-1,"N/A")</f>
        <v>0.00785572606743945</v>
      </c>
      <c r="L193" s="394">
        <f>IFERROR('Segment Analysis'!L8/'Segment Analysis'!K8-1,"N/A")</f>
        <v>0.04824300178677743</v>
      </c>
      <c r="M193" s="394">
        <f>IFERROR('Segment Analysis'!M8/'Segment Analysis'!L8-1,"N/A")</f>
        <v>0.0069664031620555456</v>
      </c>
      <c r="N193" s="394">
        <f>IFERROR('Segment Analysis'!N8/'Segment Analysis'!M8-1,"N/A")</f>
        <v>-0.007408861194249661</v>
      </c>
      <c r="O193" s="395"/>
      <c r="P193" s="394">
        <f>IFERROR('Segment Analysis'!P8/'Segment Analysis'!N8-1,"N/A")</f>
        <v>-0.009144834404349989</v>
      </c>
      <c r="Q193" s="394">
        <f>IFERROR('Segment Analysis'!Q8/'Segment Analysis'!P8-1,"N/A")</f>
        <v>0.05637316038912443</v>
      </c>
      <c r="R193" s="394">
        <f>IFERROR('Segment Analysis'!R8/'Segment Analysis'!Q8-1,"N/A")</f>
        <v>-0.005430932703660019</v>
      </c>
      <c r="S193" s="394">
        <f>IFERROR('Segment Analysis'!S8/'Segment Analysis'!R8-1,"N/A")</f>
        <v>-0.018043684710351338</v>
      </c>
      <c r="T193" s="395"/>
      <c r="U193" s="396">
        <f>IFERROR('Segment Analysis'!U8/'Segment Analysis'!S8-1,"N/A")</f>
        <v>0.004021034816247715</v>
      </c>
      <c r="V193" s="396">
        <f>IFERROR('Segment Analysis'!V8/'Segment Analysis'!U8-1,"N/A")</f>
        <v>0.054629221811425044</v>
      </c>
      <c r="W193" s="396">
        <f>IFERROR('Segment Analysis'!W8/'Segment Analysis'!V8-1,"N/A")</f>
        <v>-0.0048635844480380275</v>
      </c>
      <c r="X193" s="396">
        <v>-0.30976219736558885</v>
      </c>
      <c r="Y193" s="395"/>
      <c r="Z193" s="396">
        <f>IFERROR('Segment Analysis'!Z8/'Segment Analysis'!X8-1,"N/A")</f>
        <v>-0.017392579839497047</v>
      </c>
      <c r="AA193" s="396">
        <f>IFERROR('Segment Analysis'!AA8/'Segment Analysis'!Z8-1,"N/A")</f>
        <v>0.0538427220033153</v>
      </c>
      <c r="AB193" s="396">
        <f>IFERROR('Segment Analysis'!AB8/'Segment Analysis'!AA8-1,"N/A")</f>
        <v>-0.004218375753541115</v>
      </c>
      <c r="AC193" s="396">
        <f>IFERROR('Segment Analysis'!AC8/'Segment Analysis'!AB8-1,"N/A")</f>
        <v>-0.011213946673165331</v>
      </c>
      <c r="AD193" s="395"/>
      <c r="AE193" s="395">
        <f>IFERROR('Segment Analysis'!AE8/'Segment Analysis'!AD8-1,"N/A")</f>
        <v>0.0483740281969669</v>
      </c>
      <c r="AF193" s="395">
        <f>IFERROR('Segment Analysis'!AF8/'Segment Analysis'!AE8-1,"N/A")</f>
        <v>0.050787257360661586</v>
      </c>
      <c r="AG193" s="395">
        <f>IFERROR('Segment Analysis'!AG8/'Segment Analysis'!AF8-1,"N/A")</f>
        <v>0.048099317217169535</v>
      </c>
    </row>
    <row r="194" ht="14.25" customHeight="1" spans="1:33" x14ac:dyDescent="0.25">
      <c r="C194" s="130" t="str">
        <f>'Segment Analysis'!C17</f>
        <v>Collection</v>
      </c>
      <c r="D194" s="8"/>
      <c r="E194" s="8"/>
      <c r="F194" s="394" t="str">
        <f>IFERROR('Segment Analysis'!F9/'Segment Analysis'!D9-1,"N/A")</f>
        <v>N/A</v>
      </c>
      <c r="G194" s="394">
        <f>IFERROR('Segment Analysis'!G9/'Segment Analysis'!F9-1,"N/A")</f>
        <v>0.034412626098275334</v>
      </c>
      <c r="H194" s="394">
        <f>IFERROR('Segment Analysis'!H9/'Segment Analysis'!G9-1,"N/A")</f>
        <v>0.02890287062524588</v>
      </c>
      <c r="I194" s="394">
        <f>IFERROR('Segment Analysis'!I9/'Segment Analysis'!H9-1,"N/A")</f>
        <v>0.007070514045480536</v>
      </c>
      <c r="J194" s="395"/>
      <c r="K194" s="394">
        <f>IFERROR('Segment Analysis'!K9/'Segment Analysis'!I9-1,"N/A")</f>
        <v>0.0105502846299812</v>
      </c>
      <c r="L194" s="394">
        <f>IFERROR('Segment Analysis'!L9/'Segment Analysis'!K9-1,"N/A")</f>
        <v>0.02253267237494372</v>
      </c>
      <c r="M194" s="394">
        <f>IFERROR('Segment Analysis'!M9/'Segment Analysis'!L9-1,"N/A")</f>
        <v>0.006978110768326662</v>
      </c>
      <c r="N194" s="394">
        <f>IFERROR('Segment Analysis'!N9/'Segment Analysis'!M9-1,"N/A")</f>
        <v>-0.0050331898752644655</v>
      </c>
      <c r="O194" s="395"/>
      <c r="P194" s="394">
        <f>IFERROR('Segment Analysis'!P9/'Segment Analysis'!N9-1,"N/A")</f>
        <v>0.005498533724340282</v>
      </c>
      <c r="Q194" s="394">
        <f>IFERROR('Segment Analysis'!Q9/'Segment Analysis'!P9-1,"N/A")</f>
        <v>0.028800583302952987</v>
      </c>
      <c r="R194" s="394">
        <f>IFERROR('Segment Analysis'!R9/'Segment Analysis'!Q9-1,"N/A")</f>
        <v>0.004606661941885193</v>
      </c>
      <c r="S194" s="394">
        <f>IFERROR('Segment Analysis'!S9/'Segment Analysis'!R9-1,"N/A")</f>
        <v>-0.000705467372134061</v>
      </c>
      <c r="T194" s="395"/>
      <c r="U194" s="396">
        <f>IFERROR('Segment Analysis'!U9/'Segment Analysis'!S9-1,"N/A")</f>
        <v>0.003087892693258043</v>
      </c>
      <c r="V194" s="396">
        <f>IFERROR('Segment Analysis'!V9/'Segment Analysis'!U9-1,"N/A")</f>
        <v>0.03177973557120484</v>
      </c>
      <c r="W194" s="396">
        <f>IFERROR('Segment Analysis'!W9/'Segment Analysis'!V9-1,"N/A")</f>
        <v>0.004606661941884971</v>
      </c>
      <c r="X194" s="396">
        <v>-0.31745522739914567</v>
      </c>
      <c r="Y194" s="395"/>
      <c r="Z194" s="396">
        <f>IFERROR('Segment Analysis'!Z9/'Segment Analysis'!X9-1,"N/A")</f>
        <v>-0.014478258336408145</v>
      </c>
      <c r="AA194" s="396">
        <f>IFERROR('Segment Analysis'!AA9/'Segment Analysis'!Z9-1,"N/A")</f>
        <v>0.03079708820399385</v>
      </c>
      <c r="AB194" s="396">
        <f>IFERROR('Segment Analysis'!AB9/'Segment Analysis'!AA9-1,"N/A")</f>
        <v>0.00652202259382384</v>
      </c>
      <c r="AC194" s="396">
        <f>IFERROR('Segment Analysis'!AC9/'Segment Analysis'!AB9-1,"N/A")</f>
        <v>0.003141672310745358</v>
      </c>
      <c r="AD194" s="395"/>
      <c r="AE194" s="395">
        <f>IFERROR('Segment Analysis'!AE9/'Segment Analysis'!AD9-1,"N/A")</f>
        <v>0.04800000000000004</v>
      </c>
      <c r="AF194" s="395">
        <f>IFERROR('Segment Analysis'!AF9/'Segment Analysis'!AE9-1,"N/A")</f>
        <v>0.050999999999999934</v>
      </c>
      <c r="AG194" s="395">
        <f>IFERROR('Segment Analysis'!AG9/'Segment Analysis'!AF9-1,"N/A")</f>
        <v>0.04400000000000004</v>
      </c>
    </row>
    <row r="195" ht="14.25" customHeight="1" spans="1:33" x14ac:dyDescent="0.25">
      <c r="C195" s="130" t="str">
        <f>'Segment Analysis'!C18</f>
        <v>Landfill</v>
      </c>
      <c r="D195" s="8"/>
      <c r="E195" s="8"/>
      <c r="F195" s="394" t="str">
        <f>IFERROR('Segment Analysis'!F10/'Segment Analysis'!D10-1,"N/A")</f>
        <v>N/A</v>
      </c>
      <c r="G195" s="394">
        <f>IFERROR('Segment Analysis'!G10/'Segment Analysis'!F10-1,"N/A")</f>
        <v>0.09780947529291883</v>
      </c>
      <c r="H195" s="394">
        <f>IFERROR('Segment Analysis'!H10/'Segment Analysis'!G10-1,"N/A")</f>
        <v>0.012296983758700808</v>
      </c>
      <c r="I195" s="394">
        <f>IFERROR('Segment Analysis'!I10/'Segment Analysis'!H10-1,"N/A")</f>
        <v>-0.038276415310566136</v>
      </c>
      <c r="J195" s="395"/>
      <c r="K195" s="394">
        <f>IFERROR('Segment Analysis'!K10/'Segment Analysis'!I10-1,"N/A")</f>
        <v>-0.03622497616777898</v>
      </c>
      <c r="L195" s="394">
        <f>IFERROR('Segment Analysis'!L10/'Segment Analysis'!K10-1,"N/A")</f>
        <v>0.08852621167161234</v>
      </c>
      <c r="M195" s="394">
        <f>IFERROR('Segment Analysis'!M10/'Segment Analysis'!L10-1,"N/A")</f>
        <v>0.028623353021353992</v>
      </c>
      <c r="N195" s="394">
        <f>IFERROR('Segment Analysis'!N10/'Segment Analysis'!M10-1,"N/A")</f>
        <v>-0.021643109540636085</v>
      </c>
      <c r="O195" s="395"/>
      <c r="P195" s="394">
        <f>IFERROR('Segment Analysis'!P10/'Segment Analysis'!N10-1,"N/A")</f>
        <v>-0.04966139954853277</v>
      </c>
      <c r="Q195" s="394">
        <f>IFERROR('Segment Analysis'!Q10/'Segment Analysis'!P10-1,"N/A")</f>
        <v>0.22565320665083144</v>
      </c>
      <c r="R195" s="394">
        <f>IFERROR('Segment Analysis'!R10/'Segment Analysis'!Q10-1,"N/A")</f>
        <v>0</v>
      </c>
      <c r="S195" s="394">
        <f>IFERROR('Segment Analysis'!S10/'Segment Analysis'!R10-1,"N/A")</f>
        <v>-0.09496124031007747</v>
      </c>
      <c r="T195" s="395"/>
      <c r="U195" s="396">
        <f>IFERROR('Segment Analysis'!U10/'Segment Analysis'!S10-1,"N/A")</f>
        <v>-0.05973661670235553</v>
      </c>
      <c r="V195" s="396">
        <f>IFERROR('Segment Analysis'!V10/'Segment Analysis'!U10-1,"N/A")</f>
        <v>0.18334878149318046</v>
      </c>
      <c r="W195" s="396">
        <f>IFERROR('Segment Analysis'!W10/'Segment Analysis'!V10-1,"N/A")</f>
        <v>0.0019860973187684205</v>
      </c>
      <c r="X195" s="396">
        <v>-0.2730999387453531</v>
      </c>
      <c r="Y195" s="395"/>
      <c r="Z195" s="396">
        <f>IFERROR('Segment Analysis'!Z10/'Segment Analysis'!X10-1,"N/A")</f>
        <v>-0.07846043398513947</v>
      </c>
      <c r="AA195" s="396">
        <f>IFERROR('Segment Analysis'!AA10/'Segment Analysis'!Z10-1,"N/A")</f>
        <v>0.18899992180594638</v>
      </c>
      <c r="AB195" s="396">
        <f>IFERROR('Segment Analysis'!AB10/'Segment Analysis'!AA10-1,"N/A")</f>
        <v>-0.0018237357508845697</v>
      </c>
      <c r="AC195" s="396">
        <f>IFERROR('Segment Analysis'!AC10/'Segment Analysis'!AB10-1,"N/A")</f>
        <v>-0.06356486038048825</v>
      </c>
      <c r="AD195" s="395"/>
      <c r="AE195" s="395">
        <f>IFERROR('Segment Analysis'!AE10/'Segment Analysis'!AD10-1,"N/A")</f>
        <v>0.05699999999999994</v>
      </c>
      <c r="AF195" s="395">
        <f>IFERROR('Segment Analysis'!AF10/'Segment Analysis'!AE10-1,"N/A")</f>
        <v>0.05600000000000005</v>
      </c>
      <c r="AG195" s="395">
        <f>IFERROR('Segment Analysis'!AG10/'Segment Analysis'!AF10-1,"N/A")</f>
        <v>0.05400000000000005</v>
      </c>
    </row>
    <row r="196" ht="14.25" customHeight="1" spans="1:33" x14ac:dyDescent="0.25">
      <c r="C196" s="130" t="str">
        <f>'Segment Analysis'!C19</f>
        <v>Environmental solutions</v>
      </c>
      <c r="D196" s="8"/>
      <c r="E196" s="8"/>
      <c r="F196" s="394" t="str">
        <f>IFERROR('Segment Analysis'!F11/'Segment Analysis'!D11-1,"N/A")</f>
        <v>N/A</v>
      </c>
      <c r="G196" s="394">
        <f>IFERROR('Segment Analysis'!G11/'Segment Analysis'!F11-1,"N/A")</f>
        <v>-0.024491795248591686</v>
      </c>
      <c r="H196" s="394">
        <f>IFERROR('Segment Analysis'!H11/'Segment Analysis'!G11-1,"N/A")</f>
        <v>0.016319357268390622</v>
      </c>
      <c r="I196" s="394">
        <f>IFERROR('Segment Analysis'!I11/'Segment Analysis'!H11-1,"N/A")</f>
        <v>0.02124505928853737</v>
      </c>
      <c r="J196" s="395"/>
      <c r="K196" s="394">
        <f>IFERROR('Segment Analysis'!K11/'Segment Analysis'!I11-1,"N/A")</f>
        <v>0.02394775036284469</v>
      </c>
      <c r="L196" s="394">
        <f>IFERROR('Segment Analysis'!L11/'Segment Analysis'!K11-1,"N/A")</f>
        <v>0.11646586345381538</v>
      </c>
      <c r="M196" s="394">
        <f>IFERROR('Segment Analysis'!M11/'Segment Analysis'!L11-1,"N/A")</f>
        <v>-0.016716038933559108</v>
      </c>
      <c r="N196" s="394">
        <f>IFERROR('Segment Analysis'!N11/'Segment Analysis'!M11-1,"N/A")</f>
        <v>0.0372283193458145</v>
      </c>
      <c r="O196" s="395"/>
      <c r="P196" s="394">
        <f>IFERROR('Segment Analysis'!P11/'Segment Analysis'!N11-1,"N/A")</f>
        <v>-0.06846473029045641</v>
      </c>
      <c r="Q196" s="394">
        <f>IFERROR('Segment Analysis'!Q11/'Segment Analysis'!P11-1,"N/A")</f>
        <v>0.028953229398663627</v>
      </c>
      <c r="R196" s="394">
        <f>IFERROR('Segment Analysis'!R11/'Segment Analysis'!Q11-1,"N/A")</f>
        <v>-0.06277056277056281</v>
      </c>
      <c r="S196" s="394">
        <f>IFERROR('Segment Analysis'!S11/'Segment Analysis'!R11-1,"N/A")</f>
        <v>-0.025404157043879882</v>
      </c>
      <c r="T196" s="395"/>
      <c r="U196" s="396">
        <f>IFERROR('Segment Analysis'!U11/'Segment Analysis'!S11-1,"N/A")</f>
        <v>0.09802843601895739</v>
      </c>
      <c r="V196" s="396">
        <f>IFERROR('Segment Analysis'!V11/'Segment Analysis'!U11-1,"N/A")</f>
        <v>0.03194437250738069</v>
      </c>
      <c r="W196" s="396">
        <f>IFERROR('Segment Analysis'!W11/'Segment Analysis'!V11-1,"N/A")</f>
        <v>-0.060959491394274035</v>
      </c>
      <c r="X196" s="396">
        <v>-0.30570526007254484</v>
      </c>
      <c r="Y196" s="395"/>
      <c r="Z196" s="396">
        <f>IFERROR('Segment Analysis'!Z11/'Segment Analysis'!X11-1,"N/A")</f>
        <v>0.005277699309108375</v>
      </c>
      <c r="AA196" s="396">
        <f>IFERROR('Segment Analysis'!AA11/'Segment Analysis'!Z11-1,"N/A")</f>
        <v>0.027058272258766003</v>
      </c>
      <c r="AB196" s="396">
        <f>IFERROR('Segment Analysis'!AB11/'Segment Analysis'!AA11-1,"N/A")</f>
        <v>-0.06274643812806224</v>
      </c>
      <c r="AC196" s="396">
        <f>IFERROR('Segment Analysis'!AC11/'Segment Analysis'!AB11-1,"N/A")</f>
        <v>-0.015066110493718532</v>
      </c>
      <c r="AD196" s="395"/>
      <c r="AE196" s="395">
        <f>IFERROR('Segment Analysis'!AE11/'Segment Analysis'!AD11-1,"N/A")</f>
        <v>0.050999999999999934</v>
      </c>
      <c r="AF196" s="395">
        <f>IFERROR('Segment Analysis'!AF11/'Segment Analysis'!AE11-1,"N/A")</f>
        <v>0.05600000000000005</v>
      </c>
      <c r="AG196" s="395">
        <f>IFERROR('Segment Analysis'!AG11/'Segment Analysis'!AF11-1,"N/A")</f>
        <v>0.07000000000000006</v>
      </c>
    </row>
    <row r="197" ht="14.25" customHeight="1" spans="1:33" x14ac:dyDescent="0.25">
      <c r="C197" s="130" t="str">
        <f>'Segment Analysis'!C20</f>
        <v>Transfer</v>
      </c>
      <c r="D197" s="8"/>
      <c r="E197" s="8"/>
      <c r="F197" s="394" t="str">
        <f>IFERROR('Segment Analysis'!F12/'Segment Analysis'!D12-1,"N/A")</f>
        <v>N/A</v>
      </c>
      <c r="G197" s="394">
        <f>IFERROR('Segment Analysis'!G12/'Segment Analysis'!F12-1,"N/A")</f>
        <v>0.13848817080207732</v>
      </c>
      <c r="H197" s="394">
        <f>IFERROR('Segment Analysis'!H12/'Segment Analysis'!G12-1,"N/A")</f>
        <v>0.045108971109984575</v>
      </c>
      <c r="I197" s="394">
        <f>IFERROR('Segment Analysis'!I12/'Segment Analysis'!H12-1,"N/A")</f>
        <v>-0.08729388942774008</v>
      </c>
      <c r="J197" s="395"/>
      <c r="K197" s="394">
        <f>IFERROR('Segment Analysis'!K12/'Segment Analysis'!I12-1,"N/A")</f>
        <v>-0.028692879914983926</v>
      </c>
      <c r="L197" s="394">
        <f>IFERROR('Segment Analysis'!L12/'Segment Analysis'!K12-1,"N/A")</f>
        <v>0.13894967177242878</v>
      </c>
      <c r="M197" s="394">
        <f>IFERROR('Segment Analysis'!M12/'Segment Analysis'!L12-1,"N/A")</f>
        <v>0.01633045148895307</v>
      </c>
      <c r="N197" s="394">
        <f>IFERROR('Segment Analysis'!N12/'Segment Analysis'!M12-1,"N/A")</f>
        <v>-0.04064272211720221</v>
      </c>
      <c r="O197" s="395"/>
      <c r="P197" s="394">
        <f>IFERROR('Segment Analysis'!P12/'Segment Analysis'!N12-1,"N/A")</f>
        <v>-0.07389162561576357</v>
      </c>
      <c r="Q197" s="394">
        <f>IFERROR('Segment Analysis'!Q12/'Segment Analysis'!P12-1,"N/A")</f>
        <v>0.17553191489361697</v>
      </c>
      <c r="R197" s="394">
        <f>IFERROR('Segment Analysis'!R12/'Segment Analysis'!Q12-1,"N/A")</f>
        <v>0.013574660633484115</v>
      </c>
      <c r="S197" s="394">
        <f>IFERROR('Segment Analysis'!S12/'Segment Analysis'!R12-1,"N/A")</f>
        <v>-0.044642857142857095</v>
      </c>
      <c r="T197" s="395"/>
      <c r="U197" s="396">
        <f>IFERROR('Segment Analysis'!U12/'Segment Analysis'!S12-1,"N/A")</f>
        <v>-0.08196261682243</v>
      </c>
      <c r="V197" s="396">
        <f>IFERROR('Segment Analysis'!V12/'Segment Analysis'!U12-1,"N/A")</f>
        <v>0.1744070039702741</v>
      </c>
      <c r="W197" s="396">
        <f>IFERROR('Segment Analysis'!W12/'Segment Analysis'!V12-1,"N/A")</f>
        <v>0.013574660633484115</v>
      </c>
      <c r="X197" s="396">
        <v>-0.32255688861193343</v>
      </c>
      <c r="Y197" s="395"/>
      <c r="Z197" s="396">
        <f>IFERROR('Segment Analysis'!Z12/'Segment Analysis'!X12-1,"N/A")</f>
        <v>-0.07207533113560272</v>
      </c>
      <c r="AA197" s="396">
        <f>IFERROR('Segment Analysis'!AA12/'Segment Analysis'!Z12-1,"N/A")</f>
        <v>0.16995849259159868</v>
      </c>
      <c r="AB197" s="396">
        <f>IFERROR('Segment Analysis'!AB12/'Segment Analysis'!AA12-1,"N/A")</f>
        <v>0.010684238597456819</v>
      </c>
      <c r="AC197" s="396">
        <f>IFERROR('Segment Analysis'!AC12/'Segment Analysis'!AB12-1,"N/A")</f>
        <v>-0.04006739189928843</v>
      </c>
      <c r="AD197" s="395"/>
      <c r="AE197" s="395">
        <f>IFERROR('Segment Analysis'!AE12/'Segment Analysis'!AD12-1,"N/A")</f>
        <v>0.04400000000000004</v>
      </c>
      <c r="AF197" s="395">
        <f>IFERROR('Segment Analysis'!AF12/'Segment Analysis'!AE12-1,"N/A")</f>
        <v>0.050999999999999934</v>
      </c>
      <c r="AG197" s="395">
        <f>IFERROR('Segment Analysis'!AG12/'Segment Analysis'!AF12-1,"N/A")</f>
        <v>0.028000000000000025</v>
      </c>
    </row>
    <row r="198" ht="14.25" customHeight="1" spans="1:33" x14ac:dyDescent="0.25">
      <c r="C198" s="130" t="str">
        <f>'Segment Analysis'!C21</f>
        <v>Other</v>
      </c>
      <c r="D198" s="8"/>
      <c r="E198" s="8"/>
      <c r="F198" s="394" t="str">
        <f>IFERROR('Segment Analysis'!F13/'Segment Analysis'!D13-1,"N/A")</f>
        <v>N/A</v>
      </c>
      <c r="G198" s="394">
        <f>IFERROR('Segment Analysis'!G13/'Segment Analysis'!F13-1,"N/A")</f>
        <v>0.05252525252525264</v>
      </c>
      <c r="H198" s="394">
        <f>IFERROR('Segment Analysis'!H13/'Segment Analysis'!G13-1,"N/A")</f>
        <v>0.03710812539987196</v>
      </c>
      <c r="I198" s="394">
        <f>IFERROR('Segment Analysis'!I13/'Segment Analysis'!H13-1,"N/A")</f>
        <v>0.08204811844540405</v>
      </c>
      <c r="J198" s="395"/>
      <c r="K198" s="394">
        <f>IFERROR('Segment Analysis'!K13/'Segment Analysis'!I13-1,"N/A")</f>
        <v>0.07411630558722915</v>
      </c>
      <c r="L198" s="394">
        <f>IFERROR('Segment Analysis'!L13/'Segment Analysis'!K13-1,"N/A")</f>
        <v>0.0838641188959659</v>
      </c>
      <c r="M198" s="394">
        <f>IFERROR('Segment Analysis'!M13/'Segment Analysis'!L13-1,"N/A")</f>
        <v>0.0053868756121451256</v>
      </c>
      <c r="N198" s="394">
        <f>IFERROR('Segment Analysis'!N13/'Segment Analysis'!M13-1,"N/A")</f>
        <v>-0.07452508524111057</v>
      </c>
      <c r="O198" s="395"/>
      <c r="P198" s="394">
        <f>IFERROR('Segment Analysis'!P13/'Segment Analysis'!N13-1,"N/A")</f>
        <v>0.09473684210526323</v>
      </c>
      <c r="Q198" s="394">
        <f>IFERROR('Segment Analysis'!Q13/'Segment Analysis'!P13-1,"N/A")</f>
        <v>0.028846153846153744</v>
      </c>
      <c r="R198" s="394">
        <f>IFERROR('Segment Analysis'!R13/'Segment Analysis'!Q13-1,"N/A")</f>
        <v>-0.04672897196261683</v>
      </c>
      <c r="S198" s="394">
        <f>IFERROR('Segment Analysis'!S13/'Segment Analysis'!R13-1,"N/A")</f>
        <v>-0.019607843137254943</v>
      </c>
      <c r="T198" s="395"/>
      <c r="U198" s="396">
        <f>IFERROR('Segment Analysis'!U13/'Segment Analysis'!S13-1,"N/A")</f>
        <v>0.05975999999999981</v>
      </c>
      <c r="V198" s="396">
        <f>IFERROR('Segment Analysis'!V13/'Segment Analysis'!U13-1,"N/A")</f>
        <v>0.032884804106590115</v>
      </c>
      <c r="W198" s="396">
        <f>IFERROR('Segment Analysis'!W13/'Segment Analysis'!V13-1,"N/A")</f>
        <v>-0.04486529448844778</v>
      </c>
      <c r="X198" s="396">
        <v>-0.27191279614416985</v>
      </c>
      <c r="Y198" s="395"/>
      <c r="Z198" s="396">
        <f>IFERROR('Segment Analysis'!Z13/'Segment Analysis'!X13-1,"N/A")</f>
        <v>0.09738314176302976</v>
      </c>
      <c r="AA198" s="396">
        <f>IFERROR('Segment Analysis'!AA13/'Segment Analysis'!Z13-1,"N/A")</f>
        <v>0.033887604887276046</v>
      </c>
      <c r="AB198" s="396">
        <f>IFERROR('Segment Analysis'!AB13/'Segment Analysis'!AA13-1,"N/A")</f>
        <v>-0.042086047042730335</v>
      </c>
      <c r="AC198" s="396">
        <f>IFERROR('Segment Analysis'!AC13/'Segment Analysis'!AB13-1,"N/A")</f>
        <v>-0.04351984696317546</v>
      </c>
      <c r="AD198" s="395"/>
      <c r="AE198" s="395">
        <f>IFERROR('Segment Analysis'!AE13/'Segment Analysis'!AD13-1,"N/A")</f>
        <v>0.03200000000000003</v>
      </c>
      <c r="AF198" s="395">
        <f>IFERROR('Segment Analysis'!AF13/'Segment Analysis'!AE13-1,"N/A")</f>
        <v>0.02299999999999991</v>
      </c>
      <c r="AG198" s="395">
        <f>IFERROR('Segment Analysis'!AG13/'Segment Analysis'!AF13-1,"N/A")</f>
        <v>0.06499999999999995</v>
      </c>
    </row>
    <row r="199" ht="14.25" customHeight="1" spans="1:33" x14ac:dyDescent="0.25">
      <c r="C199" s="130" t="str">
        <f>'Segment Analysis'!C22</f>
        <v>Professional Services and Other</v>
      </c>
      <c r="D199" s="8"/>
      <c r="E199" s="8"/>
      <c r="F199" s="394" t="str">
        <f>IFERROR('Segment Analysis'!F14/'Segment Analysis'!D14-1,"N/A")</f>
        <v>N/A</v>
      </c>
      <c r="G199" s="394" t="str">
        <f>IFERROR('Segment Analysis'!G14/'Segment Analysis'!F14-1,"N/A")</f>
        <v>N/A</v>
      </c>
      <c r="H199" s="394" t="str">
        <f>IFERROR('Segment Analysis'!H14/'Segment Analysis'!G14-1,"N/A")</f>
        <v>N/A</v>
      </c>
      <c r="I199" s="394" t="str">
        <f>IFERROR('Segment Analysis'!I14/'Segment Analysis'!H14-1,"N/A")</f>
        <v>N/A</v>
      </c>
      <c r="J199" s="395"/>
      <c r="K199" s="394" t="str">
        <f>IFERROR('Segment Analysis'!K14/'Segment Analysis'!I14-1,"N/A")</f>
        <v>N/A</v>
      </c>
      <c r="L199" s="394" t="str">
        <f>IFERROR('Segment Analysis'!L14/'Segment Analysis'!K14-1,"N/A")</f>
        <v>N/A</v>
      </c>
      <c r="M199" s="394" t="str">
        <f>IFERROR('Segment Analysis'!M14/'Segment Analysis'!L14-1,"N/A")</f>
        <v>N/A</v>
      </c>
      <c r="N199" s="394" t="str">
        <f>IFERROR('Segment Analysis'!N14/'Segment Analysis'!M14-1,"N/A")</f>
        <v>N/A</v>
      </c>
      <c r="O199" s="395"/>
      <c r="P199" s="394" t="str">
        <f>IFERROR('Segment Analysis'!P14/'Segment Analysis'!N14-1,"N/A")</f>
        <v>N/A</v>
      </c>
      <c r="Q199" s="394" t="str">
        <f>IFERROR('Segment Analysis'!Q14/'Segment Analysis'!P14-1,"N/A")</f>
        <v>N/A</v>
      </c>
      <c r="R199" s="394" t="str">
        <f>IFERROR('Segment Analysis'!R14/'Segment Analysis'!Q14-1,"N/A")</f>
        <v>N/A</v>
      </c>
      <c r="S199" s="394" t="str">
        <f>IFERROR('Segment Analysis'!S14/'Segment Analysis'!R14-1,"N/A")</f>
        <v>N/A</v>
      </c>
      <c r="T199" s="395"/>
      <c r="U199" s="396" t="str">
        <f>IFERROR('Segment Analysis'!U14/'Segment Analysis'!S14-1,"N/A")</f>
        <v>N/A</v>
      </c>
      <c r="V199" s="396" t="str">
        <f>IFERROR('Segment Analysis'!V14/'Segment Analysis'!U14-1,"N/A")</f>
        <v>N/A</v>
      </c>
      <c r="W199" s="396" t="str">
        <f>IFERROR('Segment Analysis'!W14/'Segment Analysis'!V14-1,"N/A")</f>
        <v>N/A</v>
      </c>
      <c r="X199" s="396" t="s">
        <v>457</v>
      </c>
      <c r="Y199" s="395"/>
      <c r="Z199" s="396" t="str">
        <f>IFERROR('Segment Analysis'!Z14/'Segment Analysis'!X14-1,"N/A")</f>
        <v>N/A</v>
      </c>
      <c r="AA199" s="396" t="str">
        <f>IFERROR('Segment Analysis'!AA14/'Segment Analysis'!Z14-1,"N/A")</f>
        <v>N/A</v>
      </c>
      <c r="AB199" s="396" t="str">
        <f>IFERROR('Segment Analysis'!AB14/'Segment Analysis'!AA14-1,"N/A")</f>
        <v>N/A</v>
      </c>
      <c r="AC199" s="396" t="str">
        <f>IFERROR('Segment Analysis'!AC14/'Segment Analysis'!AB14-1,"N/A")</f>
        <v>N/A</v>
      </c>
      <c r="AD199" s="395"/>
      <c r="AE199" s="395" t="str">
        <f>IFERROR('Segment Analysis'!AE14/'Segment Analysis'!AD14-1,"N/A")</f>
        <v>N/A</v>
      </c>
      <c r="AF199" s="395" t="str">
        <f>IFERROR('Segment Analysis'!AF14/'Segment Analysis'!AE14-1,"N/A")</f>
        <v>N/A</v>
      </c>
      <c r="AG199" s="395" t="str">
        <f>IFERROR('Segment Analysis'!AG14/'Segment Analysis'!AF14-1,"N/A")</f>
        <v>N/A</v>
      </c>
    </row>
    <row r="200" ht="14.25" customHeight="1" spans="1:33" x14ac:dyDescent="0.25">
      <c r="C200" s="8"/>
      <c r="D200" s="8"/>
      <c r="E200" s="8"/>
      <c r="F200" s="312"/>
      <c r="G200" s="312"/>
      <c r="H200" s="312"/>
      <c r="I200" s="312"/>
      <c r="J200" s="160"/>
      <c r="K200" s="312"/>
      <c r="L200" s="312"/>
      <c r="M200" s="312"/>
      <c r="N200" s="312"/>
      <c r="O200" s="160"/>
      <c r="P200" s="312"/>
      <c r="Q200" s="312"/>
      <c r="R200" s="312"/>
      <c r="S200" s="312"/>
      <c r="T200" s="160"/>
      <c r="U200" s="315"/>
      <c r="V200" s="315"/>
      <c r="W200" s="315"/>
      <c r="X200" s="315"/>
      <c r="Y200" s="160"/>
      <c r="Z200" s="315"/>
      <c r="AA200" s="315"/>
      <c r="AB200" s="315"/>
      <c r="AC200" s="315"/>
      <c r="AD200" s="160"/>
      <c r="AE200" s="160"/>
      <c r="AF200" s="160"/>
      <c r="AG200" s="160"/>
    </row>
    <row r="201" ht="14.25" customHeight="1" spans="1:33" x14ac:dyDescent="0.25">
      <c r="C201" s="130" t="str">
        <f>C90</f>
        <v>North America</v>
      </c>
      <c r="D201" s="8"/>
      <c r="E201" s="8"/>
      <c r="F201" s="394" t="str">
        <f>IFERROR(F89/D89-1,"N/A")</f>
        <v>N/A</v>
      </c>
      <c r="G201" s="394" t="str">
        <f t="shared" ref="G201:I205" si="127">IFERROR(G89/F89-1,"N/A")</f>
        <v>N/A</v>
      </c>
      <c r="H201" s="394" t="str">
        <f t="shared" si="127"/>
        <v>N/A</v>
      </c>
      <c r="I201" s="394" t="str">
        <f t="shared" si="127"/>
        <v>N/A</v>
      </c>
      <c r="J201" s="160"/>
      <c r="K201" s="394" t="str">
        <f>IFERROR(K89/I89-1,"N/A")</f>
        <v>N/A</v>
      </c>
      <c r="L201" s="394" t="str">
        <f t="shared" ref="L201:N205" si="128">IFERROR(L89/K89-1,"N/A")</f>
        <v>N/A</v>
      </c>
      <c r="M201" s="394" t="str">
        <f t="shared" si="128"/>
        <v>N/A</v>
      </c>
      <c r="N201" s="394" t="str">
        <f t="shared" si="128"/>
        <v>N/A</v>
      </c>
      <c r="O201" s="395"/>
      <c r="P201" s="394" t="str">
        <f>IFERROR(P89/N89-1,"N/A")</f>
        <v>N/A</v>
      </c>
      <c r="Q201" s="394" t="str">
        <f>IFERROR(Q89/P89-1,"N/A")</f>
        <v>N/A</v>
      </c>
      <c r="R201" s="394" t="str">
        <f t="shared" ref="R201:S205" si="129">IFERROR(R89/Q89-1,"N/A")</f>
        <v>N/A</v>
      </c>
      <c r="S201" s="394" t="str">
        <f t="shared" si="129"/>
        <v>N/A</v>
      </c>
      <c r="T201" s="395"/>
      <c r="U201" s="396" t="str">
        <f>IFERROR(U89/S89-1,"N/A")</f>
        <v>N/A</v>
      </c>
      <c r="V201" s="396" t="str">
        <f t="shared" ref="V201:W205" si="130">IFERROR(V89/U89-1,"N/A")</f>
        <v>N/A</v>
      </c>
      <c r="W201" s="396" t="str">
        <f t="shared" si="130"/>
        <v>N/A</v>
      </c>
      <c r="X201" s="396" t="s">
        <v>457</v>
      </c>
      <c r="Y201" s="395"/>
      <c r="Z201" s="396" t="str">
        <f>IFERROR(Z89/X89-1,"N/A")</f>
        <v>N/A</v>
      </c>
      <c r="AA201" s="396" t="str">
        <f t="shared" ref="AA201:AC205" si="131">IFERROR(AA89/Z89-1,"N/A")</f>
        <v>N/A</v>
      </c>
      <c r="AB201" s="396" t="str">
        <f t="shared" si="131"/>
        <v>N/A</v>
      </c>
      <c r="AC201" s="396" t="str">
        <f t="shared" si="131"/>
        <v>N/A</v>
      </c>
      <c r="AD201" s="395"/>
      <c r="AE201" s="395" t="str">
        <f t="shared" ref="AE201:AG205" si="132">IFERROR(AE89/AD89-1,"N/A")</f>
        <v>N/A</v>
      </c>
      <c r="AF201" s="395" t="str">
        <f t="shared" si="132"/>
        <v>N/A</v>
      </c>
      <c r="AG201" s="395" t="str">
        <f t="shared" si="132"/>
        <v>N/A</v>
      </c>
    </row>
    <row r="202" ht="14.25" customHeight="1" spans="1:33" x14ac:dyDescent="0.25">
      <c r="C202" s="130" t="str">
        <f>C91</f>
        <v>Europe</v>
      </c>
      <c r="D202" s="8"/>
      <c r="E202" s="8"/>
      <c r="F202" s="394" t="str">
        <f>IFERROR(F90/D90-1,"N/A")</f>
        <v>N/A</v>
      </c>
      <c r="G202" s="394" t="str">
        <f t="shared" si="127"/>
        <v>N/A</v>
      </c>
      <c r="H202" s="394" t="str">
        <f t="shared" si="127"/>
        <v>N/A</v>
      </c>
      <c r="I202" s="394" t="str">
        <f t="shared" si="127"/>
        <v>N/A</v>
      </c>
      <c r="J202" s="160"/>
      <c r="K202" s="394" t="str">
        <f>IFERROR(K90/I90-1,"N/A")</f>
        <v>N/A</v>
      </c>
      <c r="L202" s="394" t="str">
        <f t="shared" si="128"/>
        <v>N/A</v>
      </c>
      <c r="M202" s="394" t="str">
        <f t="shared" si="128"/>
        <v>N/A</v>
      </c>
      <c r="N202" s="394" t="str">
        <f t="shared" si="128"/>
        <v>N/A</v>
      </c>
      <c r="O202" s="395"/>
      <c r="P202" s="394" t="str">
        <f>IFERROR(P90/N90-1,"N/A")</f>
        <v>N/A</v>
      </c>
      <c r="Q202" s="394" t="str">
        <f>IFERROR(Q90/P90-1,"N/A")</f>
        <v>N/A</v>
      </c>
      <c r="R202" s="394" t="str">
        <f t="shared" si="129"/>
        <v>N/A</v>
      </c>
      <c r="S202" s="394" t="str">
        <f t="shared" si="129"/>
        <v>N/A</v>
      </c>
      <c r="T202" s="395"/>
      <c r="U202" s="396" t="str">
        <f>IFERROR(U90/S90-1,"N/A")</f>
        <v>N/A</v>
      </c>
      <c r="V202" s="396" t="str">
        <f t="shared" si="130"/>
        <v>N/A</v>
      </c>
      <c r="W202" s="396" t="str">
        <f t="shared" si="130"/>
        <v>N/A</v>
      </c>
      <c r="X202" s="396" t="s">
        <v>457</v>
      </c>
      <c r="Y202" s="395"/>
      <c r="Z202" s="396" t="str">
        <f>IFERROR(Z90/X90-1,"N/A")</f>
        <v>N/A</v>
      </c>
      <c r="AA202" s="396" t="str">
        <f t="shared" si="131"/>
        <v>N/A</v>
      </c>
      <c r="AB202" s="396" t="str">
        <f t="shared" si="131"/>
        <v>N/A</v>
      </c>
      <c r="AC202" s="396" t="str">
        <f t="shared" si="131"/>
        <v>N/A</v>
      </c>
      <c r="AD202" s="395"/>
      <c r="AE202" s="395" t="str">
        <f t="shared" si="132"/>
        <v>N/A</v>
      </c>
      <c r="AF202" s="395" t="str">
        <f t="shared" si="132"/>
        <v>N/A</v>
      </c>
      <c r="AG202" s="395" t="str">
        <f t="shared" si="132"/>
        <v>N/A</v>
      </c>
    </row>
    <row r="203" ht="14.25" customHeight="1" spans="1:33" x14ac:dyDescent="0.25">
      <c r="C203" s="130" t="str">
        <f>C92</f>
        <v>South America</v>
      </c>
      <c r="D203" s="8"/>
      <c r="E203" s="8"/>
      <c r="F203" s="394" t="str">
        <f>IFERROR(F91/D91-1,"N/A")</f>
        <v>N/A</v>
      </c>
      <c r="G203" s="394" t="str">
        <f t="shared" si="127"/>
        <v>N/A</v>
      </c>
      <c r="H203" s="394" t="str">
        <f t="shared" si="127"/>
        <v>N/A</v>
      </c>
      <c r="I203" s="394" t="str">
        <f t="shared" si="127"/>
        <v>N/A</v>
      </c>
      <c r="J203" s="160"/>
      <c r="K203" s="394" t="str">
        <f>IFERROR(K91/I91-1,"N/A")</f>
        <v>N/A</v>
      </c>
      <c r="L203" s="394" t="str">
        <f t="shared" si="128"/>
        <v>N/A</v>
      </c>
      <c r="M203" s="394" t="str">
        <f t="shared" si="128"/>
        <v>N/A</v>
      </c>
      <c r="N203" s="394" t="str">
        <f t="shared" si="128"/>
        <v>N/A</v>
      </c>
      <c r="O203" s="395"/>
      <c r="P203" s="394" t="str">
        <f>IFERROR(P91/N91-1,"N/A")</f>
        <v>N/A</v>
      </c>
      <c r="Q203" s="394" t="str">
        <f>IFERROR(Q91/P91-1,"N/A")</f>
        <v>N/A</v>
      </c>
      <c r="R203" s="394" t="str">
        <f t="shared" si="129"/>
        <v>N/A</v>
      </c>
      <c r="S203" s="394" t="str">
        <f t="shared" si="129"/>
        <v>N/A</v>
      </c>
      <c r="T203" s="395"/>
      <c r="U203" s="396" t="str">
        <f>IFERROR(U91/S91-1,"N/A")</f>
        <v>N/A</v>
      </c>
      <c r="V203" s="396" t="str">
        <f t="shared" si="130"/>
        <v>N/A</v>
      </c>
      <c r="W203" s="396" t="str">
        <f t="shared" si="130"/>
        <v>N/A</v>
      </c>
      <c r="X203" s="396" t="s">
        <v>457</v>
      </c>
      <c r="Y203" s="395"/>
      <c r="Z203" s="396" t="str">
        <f>IFERROR(Z91/X91-1,"N/A")</f>
        <v>N/A</v>
      </c>
      <c r="AA203" s="396" t="str">
        <f t="shared" si="131"/>
        <v>N/A</v>
      </c>
      <c r="AB203" s="396" t="str">
        <f t="shared" si="131"/>
        <v>N/A</v>
      </c>
      <c r="AC203" s="396" t="str">
        <f t="shared" si="131"/>
        <v>N/A</v>
      </c>
      <c r="AD203" s="395"/>
      <c r="AE203" s="395" t="str">
        <f t="shared" si="132"/>
        <v>N/A</v>
      </c>
      <c r="AF203" s="395" t="str">
        <f t="shared" si="132"/>
        <v>N/A</v>
      </c>
      <c r="AG203" s="395" t="str">
        <f t="shared" si="132"/>
        <v>N/A</v>
      </c>
    </row>
    <row r="204" ht="14.25" customHeight="1" spans="1:33" x14ac:dyDescent="0.25">
      <c r="C204" s="130" t="str">
        <f>C93</f>
        <v>Middle East &amp; Africa</v>
      </c>
      <c r="D204" s="8"/>
      <c r="E204" s="8"/>
      <c r="F204" s="394" t="str">
        <f>IFERROR(F92/D92-1,"N/A")</f>
        <v>N/A</v>
      </c>
      <c r="G204" s="394" t="str">
        <f t="shared" si="127"/>
        <v>N/A</v>
      </c>
      <c r="H204" s="394" t="str">
        <f t="shared" si="127"/>
        <v>N/A</v>
      </c>
      <c r="I204" s="394" t="str">
        <f t="shared" si="127"/>
        <v>N/A</v>
      </c>
      <c r="J204" s="160"/>
      <c r="K204" s="394" t="str">
        <f>IFERROR(K92/I92-1,"N/A")</f>
        <v>N/A</v>
      </c>
      <c r="L204" s="394" t="str">
        <f t="shared" si="128"/>
        <v>N/A</v>
      </c>
      <c r="M204" s="394" t="str">
        <f t="shared" si="128"/>
        <v>N/A</v>
      </c>
      <c r="N204" s="394" t="str">
        <f t="shared" si="128"/>
        <v>N/A</v>
      </c>
      <c r="O204" s="395"/>
      <c r="P204" s="394" t="str">
        <f>IFERROR(P92/N92-1,"N/A")</f>
        <v>N/A</v>
      </c>
      <c r="Q204" s="394" t="str">
        <f>IFERROR(Q92/P92-1,"N/A")</f>
        <v>N/A</v>
      </c>
      <c r="R204" s="394" t="str">
        <f t="shared" si="129"/>
        <v>N/A</v>
      </c>
      <c r="S204" s="394" t="str">
        <f t="shared" si="129"/>
        <v>N/A</v>
      </c>
      <c r="T204" s="395"/>
      <c r="U204" s="396" t="str">
        <f>IFERROR(U92/S92-1,"N/A")</f>
        <v>N/A</v>
      </c>
      <c r="V204" s="396" t="str">
        <f t="shared" si="130"/>
        <v>N/A</v>
      </c>
      <c r="W204" s="396" t="str">
        <f t="shared" si="130"/>
        <v>N/A</v>
      </c>
      <c r="X204" s="396" t="s">
        <v>457</v>
      </c>
      <c r="Y204" s="395"/>
      <c r="Z204" s="396" t="str">
        <f>IFERROR(Z92/X92-1,"N/A")</f>
        <v>N/A</v>
      </c>
      <c r="AA204" s="396" t="str">
        <f t="shared" si="131"/>
        <v>N/A</v>
      </c>
      <c r="AB204" s="396" t="str">
        <f t="shared" si="131"/>
        <v>N/A</v>
      </c>
      <c r="AC204" s="396" t="str">
        <f t="shared" si="131"/>
        <v>N/A</v>
      </c>
      <c r="AD204" s="395"/>
      <c r="AE204" s="395" t="str">
        <f t="shared" si="132"/>
        <v>N/A</v>
      </c>
      <c r="AF204" s="395" t="str">
        <f t="shared" si="132"/>
        <v>N/A</v>
      </c>
      <c r="AG204" s="395" t="str">
        <f t="shared" si="132"/>
        <v>N/A</v>
      </c>
    </row>
    <row r="205" ht="14.25" customHeight="1" spans="1:33" x14ac:dyDescent="0.25">
      <c r="C205" s="130" t="str">
        <f>C94</f>
        <v>Asia Pacific</v>
      </c>
      <c r="D205" s="8"/>
      <c r="E205" s="8"/>
      <c r="F205" s="394" t="str">
        <f>IFERROR(F93/D93-1,"N/A")</f>
        <v>N/A</v>
      </c>
      <c r="G205" s="394" t="str">
        <f t="shared" si="127"/>
        <v>N/A</v>
      </c>
      <c r="H205" s="394" t="str">
        <f t="shared" si="127"/>
        <v>N/A</v>
      </c>
      <c r="I205" s="394" t="str">
        <f t="shared" si="127"/>
        <v>N/A</v>
      </c>
      <c r="J205" s="160"/>
      <c r="K205" s="394" t="str">
        <f>IFERROR(K93/I93-1,"N/A")</f>
        <v>N/A</v>
      </c>
      <c r="L205" s="394" t="str">
        <f t="shared" si="128"/>
        <v>N/A</v>
      </c>
      <c r="M205" s="394" t="str">
        <f t="shared" si="128"/>
        <v>N/A</v>
      </c>
      <c r="N205" s="394" t="str">
        <f t="shared" si="128"/>
        <v>N/A</v>
      </c>
      <c r="O205" s="395"/>
      <c r="P205" s="394" t="str">
        <f>IFERROR(P93/N93-1,"N/A")</f>
        <v>N/A</v>
      </c>
      <c r="Q205" s="394" t="str">
        <f>IFERROR(Q93/P93-1,"N/A")</f>
        <v>N/A</v>
      </c>
      <c r="R205" s="394" t="str">
        <f t="shared" si="129"/>
        <v>N/A</v>
      </c>
      <c r="S205" s="394" t="str">
        <f t="shared" si="129"/>
        <v>N/A</v>
      </c>
      <c r="T205" s="395"/>
      <c r="U205" s="396" t="str">
        <f>IFERROR(U93/S93-1,"N/A")</f>
        <v>N/A</v>
      </c>
      <c r="V205" s="396" t="str">
        <f t="shared" si="130"/>
        <v>N/A</v>
      </c>
      <c r="W205" s="396" t="str">
        <f t="shared" si="130"/>
        <v>N/A</v>
      </c>
      <c r="X205" s="396" t="s">
        <v>457</v>
      </c>
      <c r="Y205" s="395"/>
      <c r="Z205" s="396" t="str">
        <f>IFERROR(Z93/X93-1,"N/A")</f>
        <v>N/A</v>
      </c>
      <c r="AA205" s="396" t="str">
        <f t="shared" si="131"/>
        <v>N/A</v>
      </c>
      <c r="AB205" s="396" t="str">
        <f t="shared" si="131"/>
        <v>N/A</v>
      </c>
      <c r="AC205" s="396" t="str">
        <f t="shared" si="131"/>
        <v>N/A</v>
      </c>
      <c r="AD205" s="395"/>
      <c r="AE205" s="395" t="str">
        <f t="shared" si="132"/>
        <v>N/A</v>
      </c>
      <c r="AF205" s="395" t="str">
        <f t="shared" si="132"/>
        <v>N/A</v>
      </c>
      <c r="AG205" s="395" t="str">
        <f t="shared" si="132"/>
        <v>N/A</v>
      </c>
    </row>
    <row r="206" ht="14.25" customHeight="1" spans="1:33" x14ac:dyDescent="0.25">
      <c r="C206" s="8"/>
      <c r="D206" s="8"/>
      <c r="E206" s="8"/>
      <c r="F206" s="312"/>
      <c r="G206" s="312"/>
      <c r="H206" s="312"/>
      <c r="I206" s="312"/>
      <c r="J206" s="160"/>
      <c r="K206" s="312"/>
      <c r="L206" s="312"/>
      <c r="M206" s="312"/>
      <c r="N206" s="312"/>
      <c r="O206" s="160"/>
      <c r="P206" s="312"/>
      <c r="Q206" s="312"/>
      <c r="R206" s="312"/>
      <c r="S206" s="312"/>
      <c r="T206" s="160"/>
      <c r="U206" s="315"/>
      <c r="V206" s="315"/>
      <c r="W206" s="315"/>
      <c r="X206" s="315"/>
      <c r="Y206" s="160"/>
      <c r="Z206" s="315"/>
      <c r="AA206" s="315"/>
      <c r="AB206" s="315"/>
      <c r="AC206" s="315"/>
      <c r="AD206" s="160"/>
      <c r="AE206" s="160"/>
      <c r="AF206" s="160"/>
      <c r="AG206" s="160"/>
    </row>
    <row r="207" ht="14.25" customHeight="1" spans="1:33" x14ac:dyDescent="0.25">
      <c r="C207" s="8" t="s">
        <v>478</v>
      </c>
      <c r="D207" s="8"/>
      <c r="E207" s="8"/>
      <c r="F207" s="394" t="str">
        <f>IFERROR(Model!F36/Model!E36-1,"N/A")</f>
        <v>N/A</v>
      </c>
      <c r="G207" s="394">
        <f>IFERROR(Model!G36/Model!F36-1,"N/A")</f>
        <v>0.04043450336488785</v>
      </c>
      <c r="H207" s="394">
        <f>IFERROR(Model!H36/Model!G36-1,"N/A")</f>
        <v>0.026839152956332546</v>
      </c>
      <c r="I207" s="394">
        <f>IFERROR(Model!I36/Model!H36-1,"N/A")</f>
        <v>0.0014898455265426325</v>
      </c>
      <c r="J207" s="395"/>
      <c r="K207" s="394">
        <f>IFERROR(Model!K36/Model!J36-1,"N/A")</f>
        <v>-0.7419425974807043</v>
      </c>
      <c r="L207" s="394">
        <f>IFERROR(Model!L36/Model!K36-1,"N/A")</f>
        <v>0.04824300178677743</v>
      </c>
      <c r="M207" s="394">
        <f>IFERROR(Model!M36/Model!L36-1,"N/A")</f>
        <v>0.0069664031620555456</v>
      </c>
      <c r="N207" s="394">
        <f>IFERROR(Model!N36/Model!M36-1,"N/A")</f>
        <v>-0.007408861194249661</v>
      </c>
      <c r="O207" s="395"/>
      <c r="P207" s="394">
        <f>IFERROR(Model!P36/Model!O36-1,"N/A")</f>
        <v>-0.7499360649704652</v>
      </c>
      <c r="Q207" s="394">
        <f>IFERROR(Model!Q36/Model!P36-1,"N/A")</f>
        <v>0.05637316038912443</v>
      </c>
      <c r="R207" s="394">
        <f>IFERROR(Model!R36/Model!Q36-1,"N/A")</f>
        <v>-0.005430932703660019</v>
      </c>
      <c r="S207" s="394">
        <f>IFERROR(Model!S36/Model!R36-1,"N/A")</f>
        <v>-0.018043684710351338</v>
      </c>
      <c r="T207" s="395"/>
      <c r="U207" s="396">
        <f>IFERROR(Model!U36/Model!T36-1,"N/A")</f>
        <v>-0.7497208895853423</v>
      </c>
      <c r="V207" s="396">
        <f>IFERROR(Model!V36/Model!U36-1,"N/A")</f>
        <v>0.054629221811425044</v>
      </c>
      <c r="W207" s="396">
        <f>IFERROR(Model!W36/Model!V36-1,"N/A")</f>
        <v>-0.0048635844480380275</v>
      </c>
      <c r="X207" s="396">
        <v>-0.41695197221607605</v>
      </c>
      <c r="Y207" s="395"/>
      <c r="Z207" s="396">
        <f>IFERROR(Model!Z36/Model!Y36-1,"N/A")</f>
        <v>-0.7681840997418292</v>
      </c>
      <c r="AA207" s="396">
        <f>IFERROR(Model!AA36/Model!Z36-1,"N/A")</f>
        <v>0.09808730328312398</v>
      </c>
      <c r="AB207" s="396">
        <f>IFERROR(Model!AB36/Model!AA36-1,"N/A")</f>
        <v>0.007017347182993294</v>
      </c>
      <c r="AC207" s="396">
        <f>IFERROR(Model!AC36/Model!AB36-1,"N/A")</f>
        <v>-0.031693369686082606</v>
      </c>
      <c r="AD207" s="395"/>
      <c r="AE207" s="395">
        <f>IFERROR(Model!AE36/Model!AD36-1,"N/A")</f>
        <v>0.09455689640416587</v>
      </c>
      <c r="AF207" s="395">
        <f>IFERROR(Model!AF36/Model!AE36-1,"N/A")</f>
        <v>0.039406749631037075</v>
      </c>
      <c r="AG207" s="395">
        <f>IFERROR(Model!AG36/Model!AF36-1,"N/A")</f>
        <v>0.051744161162569524</v>
      </c>
    </row>
    <row r="208" ht="14.25" customHeight="1" spans="1:33" x14ac:dyDescent="0.25">
      <c r="C208" s="8"/>
      <c r="D208" s="8"/>
      <c r="E208" s="8"/>
      <c r="F208" s="312"/>
      <c r="G208" s="312"/>
      <c r="H208" s="312"/>
      <c r="I208" s="312"/>
      <c r="J208" s="160"/>
      <c r="K208" s="312"/>
      <c r="L208" s="312"/>
      <c r="M208" s="312"/>
      <c r="N208" s="312"/>
      <c r="O208" s="160"/>
      <c r="P208" s="312"/>
      <c r="Q208" s="312"/>
      <c r="R208" s="312"/>
      <c r="S208" s="312"/>
      <c r="T208" s="160"/>
      <c r="U208" s="315"/>
      <c r="V208" s="315"/>
      <c r="W208" s="315"/>
      <c r="X208" s="315"/>
      <c r="Y208" s="160"/>
      <c r="Z208" s="315"/>
      <c r="AA208" s="315"/>
      <c r="AB208" s="315"/>
      <c r="AC208" s="315"/>
      <c r="AD208" s="160"/>
      <c r="AE208" s="160"/>
      <c r="AF208" s="160"/>
      <c r="AG208" s="160"/>
    </row>
    <row r="209" ht="14.25" customHeight="1" spans="1:33" x14ac:dyDescent="0.25">
      <c r="C209" s="8" t="s">
        <v>479</v>
      </c>
      <c r="D209" s="8"/>
      <c r="E209" s="8"/>
      <c r="F209" s="394" t="str">
        <f>IFERROR(Model!F61/Model!D61-1,"N/A")</f>
        <v>N/A</v>
      </c>
      <c r="G209" s="394">
        <f>IFERROR(Model!G61/Model!F61-1,"N/A")</f>
        <v>0.04043450336488785</v>
      </c>
      <c r="H209" s="394">
        <f>IFERROR(Model!H61/Model!G61-1,"N/A")</f>
        <v>0.026839152956332546</v>
      </c>
      <c r="I209" s="394">
        <f>IFERROR(Model!I61/Model!H61-1,"N/A")</f>
        <v>0.0014898455265426325</v>
      </c>
      <c r="J209" s="395"/>
      <c r="K209" s="394">
        <f>IFERROR(Model!K61/Model!I61-1,"N/A")</f>
        <v>0.00785572606743945</v>
      </c>
      <c r="L209" s="394">
        <f>IFERROR(Model!L61/Model!K61-1,"N/A")</f>
        <v>0.04824300178677743</v>
      </c>
      <c r="M209" s="394">
        <f>IFERROR(Model!M61/Model!L61-1,"N/A")</f>
        <v>0.0069664031620555456</v>
      </c>
      <c r="N209" s="394">
        <f>IFERROR(Model!N61/Model!M61-1,"N/A")</f>
        <v>-0.007408861194249661</v>
      </c>
      <c r="O209" s="395"/>
      <c r="P209" s="394">
        <f>IFERROR(Model!P61/Model!N61-1,"N/A")</f>
        <v>-0.009144834404349989</v>
      </c>
      <c r="Q209" s="394">
        <f>IFERROR(Model!Q61/Model!P61-1,"N/A")</f>
        <v>0.05637316038912443</v>
      </c>
      <c r="R209" s="394">
        <f>IFERROR(Model!R61/Model!Q61-1,"N/A")</f>
        <v>-0.005430932703660019</v>
      </c>
      <c r="S209" s="394">
        <f>IFERROR(Model!S61/Model!R61-1,"N/A")</f>
        <v>-0.018043684710351338</v>
      </c>
      <c r="T209" s="395"/>
      <c r="U209" s="396">
        <f>IFERROR(Model!U61/Model!S61-1,"N/A")</f>
        <v>0.004021034816247715</v>
      </c>
      <c r="V209" s="396">
        <f>IFERROR(Model!V61/Model!U61-1,"N/A")</f>
        <v>0.054629221811425044</v>
      </c>
      <c r="W209" s="396">
        <f>IFERROR(Model!W61/Model!V61-1,"N/A")</f>
        <v>-0.0048635844480380275</v>
      </c>
      <c r="X209" s="396">
        <v>-0.31193275649337016</v>
      </c>
      <c r="Y209" s="395"/>
      <c r="Z209" s="396">
        <f>IFERROR(Model!Z61/Model!X61-1,"N/A")</f>
        <v>-0.011113938177129912</v>
      </c>
      <c r="AA209" s="396">
        <f>IFERROR(Model!AA61/Model!Z61-1,"N/A")</f>
        <v>0.06387931935572833</v>
      </c>
      <c r="AB209" s="396">
        <f>IFERROR(Model!AB61/Model!AA61-1,"N/A")</f>
        <v>0.005175790512934819</v>
      </c>
      <c r="AC209" s="396">
        <f>IFERROR(Model!AC61/Model!AB61-1,"N/A")</f>
        <v>-0.020454937825752695</v>
      </c>
      <c r="AD209" s="395"/>
      <c r="AE209" s="395">
        <f>IFERROR(Model!AE61/Model!AD61-1,"N/A")</f>
        <v>0.06803447413980979</v>
      </c>
      <c r="AF209" s="395">
        <f>IFERROR(Model!AF61/Model!AE61-1,"N/A")</f>
        <v>0.04430091626584276</v>
      </c>
      <c r="AG209" s="395">
        <f>IFERROR(Model!AG61/Model!AF61-1,"N/A")</f>
        <v>0.05135428404082498</v>
      </c>
    </row>
    <row r="210" ht="14.25" customHeight="1" spans="1:33" x14ac:dyDescent="0.25">
      <c r="C210" s="8"/>
      <c r="D210" s="40"/>
      <c r="E210" s="4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c r="AB210" s="160"/>
      <c r="AC210" s="160"/>
      <c r="AD210" s="160"/>
      <c r="AE210" s="160"/>
      <c r="AF210" s="160"/>
      <c r="AG210" s="160"/>
    </row>
    <row r="211" ht="14.25" customHeight="1" spans="1:33" x14ac:dyDescent="0.25">
      <c r="C211" s="53" t="s">
        <v>260</v>
      </c>
      <c r="D211" s="11"/>
      <c r="E211" s="11"/>
      <c r="F211" s="306"/>
      <c r="G211" s="306"/>
      <c r="H211" s="306"/>
      <c r="I211" s="306"/>
      <c r="J211" s="306"/>
      <c r="K211" s="306"/>
      <c r="L211" s="306"/>
      <c r="M211" s="306"/>
      <c r="N211" s="306"/>
      <c r="O211" s="306"/>
      <c r="P211" s="306"/>
      <c r="Q211" s="306"/>
      <c r="R211" s="306"/>
      <c r="S211" s="306"/>
      <c r="T211" s="306"/>
      <c r="U211" s="306"/>
      <c r="V211" s="306"/>
      <c r="W211" s="306"/>
      <c r="X211" s="306"/>
      <c r="Y211" s="306"/>
      <c r="Z211" s="306"/>
      <c r="AA211" s="306"/>
      <c r="AB211" s="306"/>
      <c r="AC211" s="306"/>
      <c r="AD211" s="306"/>
      <c r="AE211" s="306"/>
      <c r="AF211" s="306"/>
      <c r="AG211" s="307"/>
    </row>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row r="1001"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80" zoomScaleNormal="80">
      <pane xSplit="4" ySplit="2" topLeftCell="K139" activePane="bottomRight" state="frozen"/>
      <selection pane="bottomRight" activeCell="AE77" sqref="AE77"/>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1" width="10.33203125" outlineLevel="1" collapsed="1" customWidth="1"/>
    <col min="22" max="22" width="11.5" outlineLevel="1" collapsed="1" customWidth="1"/>
    <col min="23" max="23" width="9.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
      <c r="B1" s="1"/>
      <c r="C1" s="2" t="str">
        <f>Company_Name&amp;" - "&amp;MID(CELL("filename",A1),FIND("]",CELL("filename",A1))+1,255)&amp;": "&amp;Case_Scenario&amp;" Case"</f>
        <v>Republic Services,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57" t="s">
        <v>3</v>
      </c>
      <c r="B4" s="8"/>
      <c r="C4" s="345" t="s">
        <v>481</v>
      </c>
      <c r="D4" s="390"/>
      <c r="E4" s="390"/>
      <c r="F4" s="346" t="str">
        <f>Model!F$25</f>
        <v>1Q23</v>
      </c>
      <c r="G4" s="186" t="str">
        <f>Model!G$25</f>
        <v>2Q23</v>
      </c>
      <c r="H4" s="186" t="str">
        <f>Model!H$25</f>
        <v>3Q23</v>
      </c>
      <c r="I4" s="186" t="str">
        <f>Model!I$25</f>
        <v>4Q23</v>
      </c>
      <c r="J4" s="186">
        <f>Model!J$25</f>
        <v>2023</v>
      </c>
      <c r="K4" s="186" t="str">
        <f>Model!K$25</f>
        <v>1Q24</v>
      </c>
      <c r="L4" s="186" t="str">
        <f>Model!L$25</f>
        <v>2Q24</v>
      </c>
      <c r="M4" s="186" t="str">
        <f>Model!M$25</f>
        <v>3Q24</v>
      </c>
      <c r="N4" s="186" t="str">
        <f>Model!N$25</f>
        <v>4Q24</v>
      </c>
      <c r="O4" s="186">
        <f>Model!O$25</f>
        <v>2024</v>
      </c>
      <c r="P4" s="186" t="str">
        <f>Model!P$25</f>
        <v>1Q25</v>
      </c>
      <c r="Q4" s="186" t="str">
        <f>Model!Q$25</f>
        <v>2Q25</v>
      </c>
      <c r="R4" s="186" t="str">
        <f>Model!R$25</f>
        <v>3Q25</v>
      </c>
      <c r="S4" s="186" t="str">
        <f>Model!S$25</f>
        <v>4Q25</v>
      </c>
      <c r="T4" s="186">
        <f>Model!T$25</f>
        <v>2025</v>
      </c>
      <c r="U4" s="186" t="str">
        <f>Model!U$25</f>
        <v>1Q26e</v>
      </c>
      <c r="V4" s="186" t="str">
        <f>Model!V$25</f>
        <v>2Q26e</v>
      </c>
      <c r="W4" s="186" t="str">
        <f>Model!W$25</f>
        <v>3Q26</v>
      </c>
      <c r="X4" s="186" t="str">
        <f>Model!X$25</f>
        <v>4Q26e</v>
      </c>
      <c r="Y4" s="186" t="str">
        <f>Model!Y$25</f>
        <v>2026e</v>
      </c>
      <c r="Z4" s="186" t="str">
        <f>Model!Z$25</f>
        <v>1Q27e</v>
      </c>
      <c r="AA4" s="186" t="str">
        <f>Model!AA$25</f>
        <v>2Q27e</v>
      </c>
      <c r="AB4" s="186" t="str">
        <f>Model!AB$25</f>
        <v>3Q27e</v>
      </c>
      <c r="AC4" s="186" t="str">
        <f>Model!AC$25</f>
        <v>4Q27e</v>
      </c>
      <c r="AD4" s="186" t="str">
        <f>Model!AD$25</f>
        <v>2027e</v>
      </c>
      <c r="AE4" s="186" t="str">
        <f>Model!AE$25</f>
        <v>2028e</v>
      </c>
      <c r="AF4" s="186" t="str">
        <f>Model!AF$25</f>
        <v>2029e</v>
      </c>
      <c r="AG4" s="347" t="str">
        <f>Model!AG$25</f>
        <v>2030e</v>
      </c>
      <c r="AH4" s="257" t="s">
        <v>3</v>
      </c>
      <c r="AI4" s="257"/>
    </row>
    <row r="5" ht="12.75" customHeight="1" spans="1:35" x14ac:dyDescent="0.25">
      <c r="A5" s="257"/>
      <c r="B5" s="8"/>
      <c r="C5" s="535" t="str">
        <f>IF(Cover!$F$37="Bottom Up","Operating Margins","Gross Margin")</f>
        <v>Gross Margin</v>
      </c>
      <c r="D5" s="536"/>
      <c r="E5" s="536"/>
      <c r="F5" s="537"/>
      <c r="G5" s="538"/>
      <c r="H5" s="538"/>
      <c r="I5" s="538"/>
      <c r="J5" s="538"/>
      <c r="K5" s="538"/>
      <c r="L5" s="538"/>
      <c r="M5" s="538"/>
      <c r="N5" s="538"/>
      <c r="O5" s="538"/>
      <c r="P5" s="538"/>
      <c r="Q5" s="538"/>
      <c r="R5" s="538"/>
      <c r="S5" s="538"/>
      <c r="T5" s="538"/>
      <c r="U5" s="538"/>
      <c r="V5" s="538"/>
      <c r="W5" s="538"/>
      <c r="X5" s="538"/>
      <c r="Y5" s="538"/>
      <c r="Z5" s="538"/>
      <c r="AA5" s="538"/>
      <c r="AB5" s="538"/>
      <c r="AC5" s="538"/>
      <c r="AD5" s="538"/>
      <c r="AE5" s="538"/>
      <c r="AF5" s="538"/>
      <c r="AG5" s="539"/>
      <c r="AH5" s="8"/>
      <c r="AI5" s="8"/>
    </row>
    <row r="6" ht="12.75" customHeight="1" spans="1:35" x14ac:dyDescent="0.25">
      <c r="A6" s="8"/>
      <c r="B6" s="8"/>
      <c r="C6" s="8"/>
      <c r="D6" s="8"/>
      <c r="E6" s="8"/>
      <c r="F6" s="417"/>
      <c r="G6" s="417"/>
      <c r="H6" s="417"/>
      <c r="I6" s="417"/>
      <c r="J6" s="418"/>
      <c r="K6" s="417"/>
      <c r="L6" s="417"/>
      <c r="M6" s="417"/>
      <c r="N6" s="417"/>
      <c r="O6" s="418"/>
      <c r="P6" s="417"/>
      <c r="Q6" s="417"/>
      <c r="R6" s="417"/>
      <c r="S6" s="417"/>
      <c r="T6" s="418"/>
      <c r="U6" s="418"/>
      <c r="V6" s="418"/>
      <c r="W6" s="418"/>
      <c r="X6" s="418"/>
      <c r="Y6" s="418"/>
      <c r="Z6" s="418"/>
      <c r="AA6" s="418"/>
      <c r="AB6" s="418"/>
      <c r="AC6" s="418"/>
      <c r="AD6" s="418"/>
      <c r="AE6" s="418"/>
      <c r="AF6" s="418"/>
      <c r="AG6" s="418"/>
      <c r="AH6" s="8"/>
      <c r="AI6" s="8"/>
    </row>
    <row r="7" ht="12.75" customHeight="1" spans="1:35" x14ac:dyDescent="0.25">
      <c r="A7" s="8"/>
      <c r="B7" s="8" t="s">
        <v>3</v>
      </c>
      <c r="C7" s="8" t="str">
        <f>IF($C$5="Operating Margins",'Segment Analysis'!C17,"Total Company")</f>
        <v>Total Company</v>
      </c>
      <c r="D7" s="8"/>
      <c r="E7" s="8"/>
      <c r="F7" s="394">
        <f>IF($C$5="Operating Margins",'Segment Analysis'!F156,Model!F68)</f>
        <v>1</v>
      </c>
      <c r="G7" s="394">
        <f>IF($C$5="Operating Margins",'Segment Analysis'!G156,Model!G68)</f>
        <v>1</v>
      </c>
      <c r="H7" s="394">
        <f>IF($C$5="Operating Margins",'Segment Analysis'!H156,Model!H68)</f>
        <v>1</v>
      </c>
      <c r="I7" s="394">
        <f>IF($C$5="Operating Margins",'Segment Analysis'!I156,Model!I68)</f>
        <v>1</v>
      </c>
      <c r="J7" s="395">
        <f>IF($C$5="Operating Margins",'Segment Analysis'!J155,Model!J68)</f>
        <v>1</v>
      </c>
      <c r="K7" s="394">
        <f>IF($C$5="Operating Margins",'Segment Analysis'!K155,Model!K68)</f>
        <v>1</v>
      </c>
      <c r="L7" s="394">
        <f>IF($C$5="Operating Margins",'Segment Analysis'!L155,Model!L68)</f>
        <v>1</v>
      </c>
      <c r="M7" s="394">
        <f>IF($C$5="Operating Margins",'Segment Analysis'!M155,Model!M68)</f>
        <v>1</v>
      </c>
      <c r="N7" s="394">
        <f>IF($C$5="Operating Margins",'Segment Analysis'!N155,Model!N68)</f>
        <v>1</v>
      </c>
      <c r="O7" s="395">
        <f>IF($C$5="Operating Margins",'Segment Analysis'!O155,Model!O68)</f>
        <v>1</v>
      </c>
      <c r="P7" s="394">
        <f>IF($C$5="Operating Margins",'Segment Analysis'!P155,Model!P68)</f>
        <v>1</v>
      </c>
      <c r="Q7" s="394">
        <f>IF($C$5="Operating Margins",'Segment Analysis'!Q155,Model!Q68)</f>
        <v>1</v>
      </c>
      <c r="R7" s="394">
        <f>IF($C$5="Operating Margins",'Segment Analysis'!R155,Model!R68)</f>
        <v>1</v>
      </c>
      <c r="S7" s="394">
        <f>IF($C$5="Operating Margins",'Segment Analysis'!S155,Model!S68)</f>
        <v>1</v>
      </c>
      <c r="T7" s="395">
        <f>IF($C$5="Operating Margins",'Segment Analysis'!T155,Model!T68)</f>
        <v>1</v>
      </c>
      <c r="U7" s="395">
        <f>IF(Case_Scenario="Bull",U8,IF(Case_Scenario="Base",U9,IF(Case_Scenario="bear",U10,"N/A")))</f>
        <v>0.423</v>
      </c>
      <c r="V7" s="395">
        <f>IF(Case_Scenario="Bull",V8,IF(Case_Scenario="Base",V9,IF(Case_Scenario="bear",V10,"N/A")))</f>
        <v>0.424</v>
      </c>
      <c r="W7" s="395">
        <f>IF(Case_Scenario="Bull",W8,IF(Case_Scenario="Base",W9,IF(Case_Scenario="bear",W10,"N/A")))</f>
        <v>0.424</v>
      </c>
      <c r="X7" s="395">
        <f>IF(Case_Scenario="Bull",X8,IF(Case_Scenario="Base",X9,IF(Case_Scenario="bear",X10,"N/A")))</f>
        <v>0.424</v>
      </c>
      <c r="Y7" s="395">
        <f>IF($C$5="Operating Margins",'Segment Analysis'!Y156,Model!Y68)</f>
        <v>0.8525330584758063</v>
      </c>
      <c r="Z7" s="395">
        <f>IF(Case_Scenario="Bull",Z8,IF(Case_Scenario="Base",Z9,IF(Case_Scenario="bear",Z10,"N/A")))</f>
        <v>0.428</v>
      </c>
      <c r="AA7" s="395">
        <f>IF(Case_Scenario="Bull",AA8,IF(Case_Scenario="Base",AA9,IF(Case_Scenario="bear",AA10,"N/A")))</f>
        <v>0.425</v>
      </c>
      <c r="AB7" s="395">
        <f>IF(Case_Scenario="Bull",AB8,IF(Case_Scenario="Base",AB9,IF(Case_Scenario="bear",AB10,"N/A")))</f>
        <v>0.428</v>
      </c>
      <c r="AC7" s="395">
        <f>IF(Case_Scenario="Bull",AC8,IF(Case_Scenario="Base",AC9,IF(Case_Scenario="bear",AC10,"N/A")))</f>
        <v>0.428</v>
      </c>
      <c r="AD7" s="395">
        <f>IF($C$5="Operating Margins",'Segment Analysis'!AD156,Model!AD68)</f>
        <v>0.42723650616379494</v>
      </c>
      <c r="AE7" s="395">
        <f>IF(Case_Scenario="Bull",AE8,IF(Case_Scenario="Base",AE9,IF(Case_Scenario="bear",AE10,"N/A")))</f>
        <v>0.431</v>
      </c>
      <c r="AF7" s="395">
        <f>IF(Case_Scenario="Bull",AF8,IF(Case_Scenario="Base",AF9,IF(Case_Scenario="bear",AF10,"N/A")))</f>
        <v>0.428</v>
      </c>
      <c r="AG7" s="395">
        <f>IF(Case_Scenario="Bull",AG8,IF(Case_Scenario="Base",AG9,IF(Case_Scenario="bear",AG10,"N/A")))</f>
        <v>0.428</v>
      </c>
      <c r="AH7" s="8"/>
      <c r="AI7" s="8"/>
    </row>
    <row r="8" ht="12.75" customHeight="1" spans="1:35" x14ac:dyDescent="0.25">
      <c r="A8" s="8"/>
      <c r="B8" s="8"/>
      <c r="C8" s="130" t="str">
        <f>IF(C7="","","Bull Case")</f>
        <v>Bull Case</v>
      </c>
      <c r="D8" s="8"/>
      <c r="E8" s="8"/>
      <c r="F8" s="394"/>
      <c r="G8" s="394"/>
      <c r="H8" s="394"/>
      <c r="I8" s="394"/>
      <c r="J8" s="395"/>
      <c r="K8" s="394"/>
      <c r="L8" s="394"/>
      <c r="M8" s="394"/>
      <c r="N8" s="394"/>
      <c r="O8" s="395"/>
      <c r="P8" s="394"/>
      <c r="Q8" s="394"/>
      <c r="R8" s="394"/>
      <c r="S8" s="394"/>
      <c r="T8" s="395"/>
      <c r="U8" s="314">
        <f>U9+0.025</f>
        <v>0.448</v>
      </c>
      <c r="V8" s="314">
        <f>V9+0.025</f>
        <v>0.449</v>
      </c>
      <c r="W8" s="314">
        <f>W9+0.025</f>
        <v>0.449</v>
      </c>
      <c r="X8" s="314">
        <f>X9+0.025</f>
        <v>0.449</v>
      </c>
      <c r="Z8" s="314">
        <f>Z9+0.025</f>
        <v>0.453</v>
      </c>
      <c r="AA8" s="314">
        <f>AA9+0.025</f>
        <v>0.45</v>
      </c>
      <c r="AB8" s="314">
        <f>AB9+0.025</f>
        <v>0.453</v>
      </c>
      <c r="AC8" s="314">
        <f>AC9+0.025</f>
        <v>0.453</v>
      </c>
      <c r="AE8" s="314">
        <f>AE9+0.025</f>
        <v>0.456</v>
      </c>
      <c r="AF8" s="314">
        <f>AF9+0.025</f>
        <v>0.453</v>
      </c>
      <c r="AG8" s="314">
        <f>AG9+0.025</f>
        <v>0.453</v>
      </c>
      <c r="AH8" s="314">
        <f>AH9</f>
        <v>0</v>
      </c>
      <c r="AI8" s="8"/>
    </row>
    <row r="9" ht="12.75" customHeight="1" spans="1:35" x14ac:dyDescent="0.25">
      <c r="A9" s="8"/>
      <c r="B9" s="8"/>
      <c r="C9" s="130" t="str">
        <f>IF(C7="","","Base Case")</f>
        <v>Base Case</v>
      </c>
      <c r="D9" s="8"/>
      <c r="E9" s="8"/>
      <c r="F9" s="394"/>
      <c r="G9" s="394"/>
      <c r="H9" s="394"/>
      <c r="I9" s="394"/>
      <c r="J9" s="395"/>
      <c r="K9" s="394"/>
      <c r="L9" s="394"/>
      <c r="M9" s="394"/>
      <c r="N9" s="394"/>
      <c r="O9" s="395"/>
      <c r="P9" s="394"/>
      <c r="Q9" s="394"/>
      <c r="R9" s="394"/>
      <c r="S9" s="394"/>
      <c r="T9" s="395"/>
      <c r="U9" s="314">
        <v>0.423</v>
      </c>
      <c r="V9" s="314">
        <v>0.424</v>
      </c>
      <c r="W9" s="314">
        <v>0.424</v>
      </c>
      <c r="X9" s="314">
        <v>0.424</v>
      </c>
      <c r="Z9" s="314">
        <v>0.428</v>
      </c>
      <c r="AA9" s="314">
        <v>0.425</v>
      </c>
      <c r="AB9" s="314">
        <v>0.428</v>
      </c>
      <c r="AC9" s="314">
        <v>0.428</v>
      </c>
      <c r="AE9" s="314">
        <v>0.431</v>
      </c>
      <c r="AF9" s="314">
        <v>0.428</v>
      </c>
      <c r="AG9" s="314">
        <v>0.428</v>
      </c>
      <c r="AH9" s="8"/>
      <c r="AI9" s="8"/>
    </row>
    <row r="10" ht="12.75" customHeight="1" spans="1:35" x14ac:dyDescent="0.25">
      <c r="A10" s="8"/>
      <c r="B10" s="8"/>
      <c r="C10" s="130" t="str">
        <f>IF(C7="","","Bear Case")</f>
        <v>Bear Case</v>
      </c>
      <c r="D10" s="8"/>
      <c r="E10" s="8"/>
      <c r="F10" s="394"/>
      <c r="G10" s="394"/>
      <c r="H10" s="394"/>
      <c r="I10" s="394"/>
      <c r="J10" s="395"/>
      <c r="K10" s="394"/>
      <c r="L10" s="394"/>
      <c r="M10" s="394"/>
      <c r="N10" s="394"/>
      <c r="O10" s="395"/>
      <c r="P10" s="394"/>
      <c r="Q10" s="394"/>
      <c r="R10" s="394"/>
      <c r="S10" s="394"/>
      <c r="T10" s="395"/>
      <c r="U10" s="314">
        <f>U9-2.5%</f>
        <v>0.39799999999999996</v>
      </c>
      <c r="V10" s="314">
        <f>V9-2.5%</f>
        <v>0.39899999999999997</v>
      </c>
      <c r="W10" s="314">
        <f>W9-2.5%</f>
        <v>0.39899999999999997</v>
      </c>
      <c r="X10" s="314">
        <f>X9-2.5%</f>
        <v>0.39899999999999997</v>
      </c>
      <c r="Z10" s="314">
        <f>Z9-2.5%</f>
        <v>0.40299999999999997</v>
      </c>
      <c r="AA10" s="314">
        <f>AA9-2.5%</f>
        <v>0.39999999999999997</v>
      </c>
      <c r="AB10" s="314">
        <f>AB9-2.5%</f>
        <v>0.40299999999999997</v>
      </c>
      <c r="AC10" s="314">
        <f>AC9-2.5%</f>
        <v>0.40299999999999997</v>
      </c>
      <c r="AE10" s="314">
        <f>AE9-2.5%</f>
        <v>0.40599999999999997</v>
      </c>
      <c r="AF10" s="314">
        <f>AF9-2.5%</f>
        <v>0.40299999999999997</v>
      </c>
      <c r="AG10" s="314">
        <f>AG9-2.5%</f>
        <v>0.40299999999999997</v>
      </c>
      <c r="AH10" s="8"/>
      <c r="AI10" s="8"/>
    </row>
    <row r="11" ht="12.75" customHeight="1" spans="1:35" x14ac:dyDescent="0.25">
      <c r="A11" s="8"/>
      <c r="B11" s="8"/>
      <c r="C11" s="130"/>
      <c r="D11" s="8"/>
      <c r="E11" s="8"/>
      <c r="F11" s="394"/>
      <c r="G11" s="394"/>
      <c r="H11" s="394"/>
      <c r="I11" s="394"/>
      <c r="J11" s="395"/>
      <c r="K11" s="394"/>
      <c r="L11" s="394"/>
      <c r="M11" s="394"/>
      <c r="N11" s="394"/>
      <c r="O11" s="395"/>
      <c r="P11" s="394"/>
      <c r="Q11" s="394"/>
      <c r="R11" s="394"/>
      <c r="S11" s="394"/>
      <c r="T11" s="395"/>
      <c r="U11" s="314"/>
      <c r="V11" s="314"/>
      <c r="W11" s="314"/>
      <c r="X11" s="314"/>
      <c r="Y11" s="395"/>
      <c r="Z11" s="314"/>
      <c r="AA11" s="314"/>
      <c r="AB11" s="314"/>
      <c r="AC11" s="314"/>
      <c r="AD11" s="395"/>
      <c r="AE11" s="314"/>
      <c r="AF11" s="314"/>
      <c r="AG11" s="314"/>
      <c r="AH11" s="8"/>
      <c r="AI11" s="8"/>
    </row>
    <row r="12" ht="12.75" customHeight="1" spans="1:35" x14ac:dyDescent="0.25">
      <c r="A12" s="257" t="s">
        <v>3</v>
      </c>
      <c r="B12" s="8" t="s">
        <v>3</v>
      </c>
      <c r="C12" s="8">
        <f>IF($C$5="Operating Margins",'Segment Analysis'!C18,"")</f>
      </c>
      <c r="D12" s="8"/>
      <c r="E12" s="8"/>
      <c r="F12" s="394">
        <f>'Segment Analysis'!F157</f>
        <v>0</v>
      </c>
      <c r="G12" s="394">
        <f>'Segment Analysis'!G157</f>
        <v>0</v>
      </c>
      <c r="H12" s="394">
        <f>'Segment Analysis'!H157</f>
        <v>0</v>
      </c>
      <c r="I12" s="394">
        <f>'Segment Analysis'!I157</f>
        <v>0</v>
      </c>
      <c r="J12" s="395">
        <f>'Segment Analysis'!J157</f>
        <v>0</v>
      </c>
      <c r="K12" s="394">
        <f>'Segment Analysis'!K157</f>
        <v>0</v>
      </c>
      <c r="L12" s="394">
        <f>'Segment Analysis'!L157</f>
        <v>0</v>
      </c>
      <c r="M12" s="394">
        <f>'Segment Analysis'!M157</f>
        <v>0</v>
      </c>
      <c r="N12" s="394">
        <f>'Segment Analysis'!N157</f>
        <v>0</v>
      </c>
      <c r="O12" s="395">
        <f>'Segment Analysis'!O157</f>
        <v>0</v>
      </c>
      <c r="P12" s="394">
        <f>'Segment Analysis'!P157</f>
        <v>0</v>
      </c>
      <c r="Q12" s="394">
        <f>'Segment Analysis'!Q157</f>
        <v>0</v>
      </c>
      <c r="R12" s="394">
        <f>'Segment Analysis'!R157</f>
        <v>0</v>
      </c>
      <c r="S12" s="394">
        <f>'Segment Analysis'!S157</f>
        <v>0</v>
      </c>
      <c r="T12" s="395">
        <f>'Segment Analysis'!T157</f>
        <v>0</v>
      </c>
      <c r="U12" s="395">
        <f>IF(Case_Scenario="Bull",U13,IF(Case_Scenario="Base",U14,IF(Case_Scenario="bear",U15,"N/A")))</f>
        <v>0</v>
      </c>
      <c r="V12" s="395">
        <f>IF(Case_Scenario="Bull",V13,IF(Case_Scenario="Base",V14,IF(Case_Scenario="bear",V15,"N/A")))</f>
        <v>0</v>
      </c>
      <c r="W12" s="395">
        <f>IF(Case_Scenario="Bull",W13,IF(Case_Scenario="Base",W14,IF(Case_Scenario="bear",W15,"N/A")))</f>
        <v>0</v>
      </c>
      <c r="X12" s="395">
        <f>IF(Case_Scenario="Bull",X13,IF(Case_Scenario="Base",X14,IF(Case_Scenario="bear",X15,"N/A")))</f>
        <v>0</v>
      </c>
      <c r="Y12" s="395">
        <f>'Segment Analysis'!Y157</f>
        <v>0</v>
      </c>
      <c r="Z12" s="395">
        <f>IF(Case_Scenario="Bull",Z13,IF(Case_Scenario="Base",Z14,IF(Case_Scenario="bear",Z15,"N/A")))</f>
        <v>0</v>
      </c>
      <c r="AA12" s="395">
        <f>IF(Case_Scenario="Bull",AA13,IF(Case_Scenario="Base",AA14,IF(Case_Scenario="bear",AA15,"N/A")))</f>
        <v>0</v>
      </c>
      <c r="AB12" s="395">
        <f>IF(Case_Scenario="Bull",AB13,IF(Case_Scenario="Base",AB14,IF(Case_Scenario="bear",AB15,"N/A")))</f>
        <v>0</v>
      </c>
      <c r="AC12" s="395">
        <f>IF(Case_Scenario="Bull",AC13,IF(Case_Scenario="Base",AC14,IF(Case_Scenario="bear",AC15,"N/A")))</f>
        <v>0</v>
      </c>
      <c r="AD12" s="395">
        <f>'Segment Analysis'!AD157</f>
        <v>0</v>
      </c>
      <c r="AE12" s="395">
        <f>IF(Case_Scenario="Bull",AE13,IF(Case_Scenario="Base",AE14,IF(Case_Scenario="bear",AE15,"N/A")))</f>
        <v>0</v>
      </c>
      <c r="AF12" s="395">
        <f>IF(Case_Scenario="Bull",AF13,IF(Case_Scenario="Base",AF14,IF(Case_Scenario="bear",AF15,"N/A")))</f>
        <v>0</v>
      </c>
      <c r="AG12" s="395">
        <f>IF(Case_Scenario="Bull",AG13,IF(Case_Scenario="Base",AG14,IF(Case_Scenario="bear",AG15,"N/A")))</f>
        <v>0</v>
      </c>
      <c r="AH12" s="257" t="s">
        <v>3</v>
      </c>
      <c r="AI12" s="257"/>
    </row>
    <row r="13" ht="12.75" customHeight="1" spans="1:35" x14ac:dyDescent="0.25">
      <c r="A13" s="8"/>
      <c r="B13" s="8"/>
      <c r="C13" s="130">
        <f>IF(C12="","","Bull Case")</f>
      </c>
      <c r="D13" s="8"/>
      <c r="E13" s="8"/>
      <c r="F13" s="394"/>
      <c r="G13" s="394"/>
      <c r="H13" s="394"/>
      <c r="I13" s="394"/>
      <c r="J13" s="395"/>
      <c r="K13" s="394"/>
      <c r="L13" s="394"/>
      <c r="M13" s="394"/>
      <c r="N13" s="394"/>
      <c r="O13" s="395"/>
      <c r="P13" s="394"/>
      <c r="Q13" s="394"/>
      <c r="R13" s="394"/>
      <c r="S13" s="394"/>
      <c r="T13" s="395"/>
      <c r="U13" s="314">
        <v>0</v>
      </c>
      <c r="V13" s="314">
        <v>0</v>
      </c>
      <c r="W13" s="314">
        <v>0</v>
      </c>
      <c r="X13" s="314">
        <v>0</v>
      </c>
      <c r="Z13" s="314">
        <v>0</v>
      </c>
      <c r="AA13" s="314">
        <v>0</v>
      </c>
      <c r="AB13" s="314">
        <v>0</v>
      </c>
      <c r="AC13" s="314">
        <v>0</v>
      </c>
      <c r="AE13" s="314">
        <v>0</v>
      </c>
      <c r="AF13" s="314">
        <v>0</v>
      </c>
      <c r="AG13" s="314">
        <v>0</v>
      </c>
      <c r="AH13" s="8"/>
      <c r="AI13" s="8"/>
    </row>
    <row r="14" ht="12.75" customHeight="1" spans="1:35" x14ac:dyDescent="0.25">
      <c r="A14" s="8"/>
      <c r="B14" s="8"/>
      <c r="C14" s="130">
        <f>IF(C12="","","Base Case")</f>
      </c>
      <c r="D14" s="8"/>
      <c r="E14" s="8"/>
      <c r="F14" s="394"/>
      <c r="G14" s="394"/>
      <c r="H14" s="394"/>
      <c r="I14" s="394"/>
      <c r="J14" s="395"/>
      <c r="K14" s="394"/>
      <c r="L14" s="394"/>
      <c r="M14" s="394"/>
      <c r="N14" s="394"/>
      <c r="O14" s="395"/>
      <c r="P14" s="394"/>
      <c r="Q14" s="394"/>
      <c r="R14" s="394"/>
      <c r="S14" s="394"/>
      <c r="T14" s="395"/>
      <c r="U14" s="314">
        <v>0</v>
      </c>
      <c r="V14" s="314">
        <v>0</v>
      </c>
      <c r="W14" s="314">
        <v>0</v>
      </c>
      <c r="X14" s="314">
        <v>0</v>
      </c>
      <c r="Z14" s="314">
        <v>0</v>
      </c>
      <c r="AA14" s="314">
        <v>0</v>
      </c>
      <c r="AB14" s="314">
        <v>0</v>
      </c>
      <c r="AC14" s="314">
        <v>0</v>
      </c>
      <c r="AE14" s="314">
        <v>0</v>
      </c>
      <c r="AF14" s="314">
        <v>0</v>
      </c>
      <c r="AG14" s="314">
        <v>0</v>
      </c>
      <c r="AH14" s="8"/>
      <c r="AI14" s="8"/>
    </row>
    <row r="15" ht="12.75" customHeight="1" spans="1:35" x14ac:dyDescent="0.25">
      <c r="A15" s="8"/>
      <c r="B15" s="8"/>
      <c r="C15" s="130">
        <f>IF(C12="","","Bear Case")</f>
      </c>
      <c r="D15" s="8"/>
      <c r="E15" s="8"/>
      <c r="F15" s="394"/>
      <c r="G15" s="394"/>
      <c r="H15" s="394"/>
      <c r="I15" s="394"/>
      <c r="J15" s="395"/>
      <c r="K15" s="394"/>
      <c r="L15" s="394"/>
      <c r="M15" s="394"/>
      <c r="N15" s="394"/>
      <c r="O15" s="395"/>
      <c r="P15" s="394"/>
      <c r="Q15" s="394"/>
      <c r="R15" s="394"/>
      <c r="S15" s="394"/>
      <c r="T15" s="395"/>
      <c r="U15" s="314">
        <v>0</v>
      </c>
      <c r="V15" s="314">
        <v>0</v>
      </c>
      <c r="W15" s="314">
        <v>0</v>
      </c>
      <c r="X15" s="314">
        <v>0</v>
      </c>
      <c r="Z15" s="314">
        <v>0</v>
      </c>
      <c r="AA15" s="314">
        <v>0</v>
      </c>
      <c r="AB15" s="314">
        <v>0</v>
      </c>
      <c r="AC15" s="314">
        <v>0</v>
      </c>
      <c r="AE15" s="314">
        <v>0</v>
      </c>
      <c r="AF15" s="314">
        <v>0</v>
      </c>
      <c r="AG15" s="314">
        <v>0</v>
      </c>
      <c r="AH15" s="8"/>
      <c r="AI15" s="8"/>
    </row>
    <row r="16" ht="12.75" customHeight="1" spans="1:35" x14ac:dyDescent="0.25">
      <c r="A16" s="8"/>
      <c r="B16" s="8"/>
      <c r="C16" s="130"/>
      <c r="D16" s="8"/>
      <c r="E16" s="8"/>
      <c r="F16" s="394"/>
      <c r="G16" s="394"/>
      <c r="H16" s="394"/>
      <c r="I16" s="394"/>
      <c r="J16" s="395"/>
      <c r="K16" s="394"/>
      <c r="L16" s="394"/>
      <c r="M16" s="394"/>
      <c r="N16" s="394"/>
      <c r="O16" s="395"/>
      <c r="P16" s="394"/>
      <c r="Q16" s="394"/>
      <c r="R16" s="394"/>
      <c r="S16" s="394"/>
      <c r="T16" s="395"/>
      <c r="U16" s="314"/>
      <c r="V16" s="314"/>
      <c r="W16" s="314"/>
      <c r="X16" s="314"/>
      <c r="Y16" s="395"/>
      <c r="Z16" s="314"/>
      <c r="AA16" s="314"/>
      <c r="AB16" s="314"/>
      <c r="AC16" s="314"/>
      <c r="AD16" s="395"/>
      <c r="AE16" s="314"/>
      <c r="AF16" s="314"/>
      <c r="AG16" s="314"/>
      <c r="AH16" s="8"/>
      <c r="AI16" s="8"/>
    </row>
    <row r="17" ht="12.75" customHeight="1" spans="1:35" x14ac:dyDescent="0.25">
      <c r="A17" s="8"/>
      <c r="B17" s="8" t="s">
        <v>3</v>
      </c>
      <c r="C17" s="8">
        <f>IF($C$5="Operating Margins",'Segment Analysis'!C19,"")</f>
      </c>
      <c r="D17" s="8"/>
      <c r="E17" s="8"/>
      <c r="F17" s="394">
        <f>'Segment Analysis'!F158</f>
        <v>0</v>
      </c>
      <c r="G17" s="394">
        <f>'Segment Analysis'!G158</f>
        <v>0</v>
      </c>
      <c r="H17" s="394">
        <f>'Segment Analysis'!H158</f>
        <v>0</v>
      </c>
      <c r="I17" s="394">
        <f>'Segment Analysis'!I158</f>
        <v>0</v>
      </c>
      <c r="J17" s="395">
        <f>'Segment Analysis'!J158</f>
        <v>0</v>
      </c>
      <c r="K17" s="394">
        <f>'Segment Analysis'!K158</f>
        <v>0</v>
      </c>
      <c r="L17" s="394">
        <f>'Segment Analysis'!L158</f>
        <v>0</v>
      </c>
      <c r="M17" s="394">
        <f>'Segment Analysis'!M158</f>
        <v>0</v>
      </c>
      <c r="N17" s="394">
        <f>'Segment Analysis'!N158</f>
        <v>0</v>
      </c>
      <c r="O17" s="395">
        <f>'Segment Analysis'!O158</f>
        <v>0</v>
      </c>
      <c r="P17" s="394">
        <f>'Segment Analysis'!P158</f>
        <v>0</v>
      </c>
      <c r="Q17" s="394">
        <f>'Segment Analysis'!Q158</f>
        <v>0</v>
      </c>
      <c r="R17" s="394">
        <f>'Segment Analysis'!R158</f>
        <v>0</v>
      </c>
      <c r="S17" s="394">
        <f>'Segment Analysis'!S158</f>
        <v>0</v>
      </c>
      <c r="T17" s="395">
        <f>'Segment Analysis'!T158</f>
        <v>0</v>
      </c>
      <c r="U17" s="395">
        <f>IF(Case_Scenario="Bull",U18,IF(Case_Scenario="Base",U19,IF(Case_Scenario="bear",U20,"N/A")))</f>
        <v>0</v>
      </c>
      <c r="V17" s="395">
        <f>IF(Case_Scenario="Bull",V18,IF(Case_Scenario="Base",V19,IF(Case_Scenario="bear",V20,"N/A")))</f>
        <v>0</v>
      </c>
      <c r="W17" s="395">
        <f>IF(Case_Scenario="Bull",W18,IF(Case_Scenario="Base",W19,IF(Case_Scenario="bear",W20,"N/A")))</f>
        <v>0</v>
      </c>
      <c r="X17" s="395">
        <f>IF(Case_Scenario="Bull",X18,IF(Case_Scenario="Base",X19,IF(Case_Scenario="bear",X20,"N/A")))</f>
        <v>0</v>
      </c>
      <c r="Y17" s="395">
        <f>'Segment Analysis'!Y158</f>
        <v>0</v>
      </c>
      <c r="Z17" s="395">
        <f>IF(Case_Scenario="Bull",Z18,IF(Case_Scenario="Base",Z19,IF(Case_Scenario="bear",Z20,"N/A")))</f>
        <v>0</v>
      </c>
      <c r="AA17" s="395">
        <f>IF(Case_Scenario="Bull",AA18,IF(Case_Scenario="Base",AA19,IF(Case_Scenario="bear",AA20,"N/A")))</f>
        <v>0</v>
      </c>
      <c r="AB17" s="395">
        <f>IF(Case_Scenario="Bull",AB18,IF(Case_Scenario="Base",AB19,IF(Case_Scenario="bear",AB20,"N/A")))</f>
        <v>0</v>
      </c>
      <c r="AC17" s="395">
        <f>IF(Case_Scenario="Bull",AC18,IF(Case_Scenario="Base",AC19,IF(Case_Scenario="bear",AC20,"N/A")))</f>
        <v>0</v>
      </c>
      <c r="AD17" s="395">
        <f>'Segment Analysis'!AD158</f>
        <v>0</v>
      </c>
      <c r="AE17" s="395">
        <f>IF(Case_Scenario="Bull",AE18,IF(Case_Scenario="Base",AE19,IF(Case_Scenario="bear",AE20,"N/A")))</f>
        <v>0</v>
      </c>
      <c r="AF17" s="395">
        <f>IF(Case_Scenario="Bull",AF18,IF(Case_Scenario="Base",AF19,IF(Case_Scenario="bear",AF20,"N/A")))</f>
        <v>0</v>
      </c>
      <c r="AG17" s="395">
        <f>IF(Case_Scenario="Bull",AG18,IF(Case_Scenario="Base",AG19,IF(Case_Scenario="bear",AG20,"N/A")))</f>
        <v>0</v>
      </c>
      <c r="AH17" s="8"/>
      <c r="AI17" s="8"/>
    </row>
    <row r="18" ht="12.75" customHeight="1" spans="1:35" x14ac:dyDescent="0.25">
      <c r="A18" s="8"/>
      <c r="B18" s="8"/>
      <c r="C18" s="130">
        <f>IF(C17="","","Bull Case")</f>
      </c>
      <c r="D18" s="8"/>
      <c r="E18" s="8"/>
      <c r="F18" s="394"/>
      <c r="G18" s="394"/>
      <c r="H18" s="394"/>
      <c r="I18" s="394"/>
      <c r="J18" s="395"/>
      <c r="K18" s="394"/>
      <c r="L18" s="394"/>
      <c r="M18" s="394"/>
      <c r="N18" s="394"/>
      <c r="O18" s="395"/>
      <c r="P18" s="394"/>
      <c r="Q18" s="394"/>
      <c r="R18" s="394"/>
      <c r="S18" s="394"/>
      <c r="T18" s="395"/>
      <c r="U18" s="314">
        <v>0</v>
      </c>
      <c r="V18" s="314">
        <v>0</v>
      </c>
      <c r="W18" s="314">
        <v>0</v>
      </c>
      <c r="X18" s="314">
        <v>0</v>
      </c>
      <c r="Z18" s="314">
        <v>0</v>
      </c>
      <c r="AA18" s="314">
        <v>0</v>
      </c>
      <c r="AB18" s="314">
        <v>0</v>
      </c>
      <c r="AC18" s="314">
        <v>0</v>
      </c>
      <c r="AE18" s="314">
        <v>0</v>
      </c>
      <c r="AF18" s="314">
        <v>0</v>
      </c>
      <c r="AG18" s="314">
        <v>0</v>
      </c>
      <c r="AH18" s="8"/>
      <c r="AI18" s="8"/>
    </row>
    <row r="19" ht="12.75" customHeight="1" spans="1:35" x14ac:dyDescent="0.25">
      <c r="A19" s="8"/>
      <c r="B19" s="8"/>
      <c r="C19" s="130">
        <f>IF(C17="","","Base Case")</f>
      </c>
      <c r="D19" s="8"/>
      <c r="E19" s="8"/>
      <c r="F19" s="394"/>
      <c r="G19" s="394"/>
      <c r="H19" s="394"/>
      <c r="I19" s="394"/>
      <c r="J19" s="395"/>
      <c r="K19" s="394"/>
      <c r="L19" s="394"/>
      <c r="M19" s="394"/>
      <c r="N19" s="394"/>
      <c r="O19" s="395"/>
      <c r="P19" s="394"/>
      <c r="Q19" s="394"/>
      <c r="R19" s="394"/>
      <c r="S19" s="394"/>
      <c r="T19" s="395"/>
      <c r="U19" s="314">
        <v>0</v>
      </c>
      <c r="V19" s="314">
        <v>0</v>
      </c>
      <c r="W19" s="314">
        <v>0</v>
      </c>
      <c r="X19" s="314">
        <v>0</v>
      </c>
      <c r="Z19" s="314">
        <v>0</v>
      </c>
      <c r="AA19" s="314">
        <v>0</v>
      </c>
      <c r="AB19" s="314">
        <v>0</v>
      </c>
      <c r="AC19" s="314">
        <v>0</v>
      </c>
      <c r="AE19" s="314">
        <v>0</v>
      </c>
      <c r="AF19" s="314">
        <v>0</v>
      </c>
      <c r="AG19" s="314">
        <v>0</v>
      </c>
      <c r="AH19" s="8"/>
      <c r="AI19" s="8"/>
    </row>
    <row r="20" ht="12.75" customHeight="1" spans="1:35" x14ac:dyDescent="0.25">
      <c r="A20" s="8"/>
      <c r="B20" s="8"/>
      <c r="C20" s="130">
        <f>IF(C17="","","Bear Case")</f>
      </c>
      <c r="D20" s="8"/>
      <c r="E20" s="8"/>
      <c r="F20" s="394"/>
      <c r="G20" s="394"/>
      <c r="H20" s="394"/>
      <c r="I20" s="394"/>
      <c r="J20" s="395"/>
      <c r="K20" s="394"/>
      <c r="L20" s="394"/>
      <c r="M20" s="394"/>
      <c r="N20" s="394"/>
      <c r="O20" s="395"/>
      <c r="P20" s="394"/>
      <c r="Q20" s="394"/>
      <c r="R20" s="394"/>
      <c r="S20" s="394"/>
      <c r="T20" s="395"/>
      <c r="U20" s="314">
        <v>0</v>
      </c>
      <c r="V20" s="314">
        <v>0</v>
      </c>
      <c r="W20" s="314">
        <v>0</v>
      </c>
      <c r="X20" s="314">
        <v>0</v>
      </c>
      <c r="Z20" s="314">
        <v>0</v>
      </c>
      <c r="AA20" s="314">
        <v>0</v>
      </c>
      <c r="AB20" s="314">
        <v>0</v>
      </c>
      <c r="AC20" s="314">
        <v>0</v>
      </c>
      <c r="AE20" s="314">
        <v>0</v>
      </c>
      <c r="AF20" s="314">
        <v>0</v>
      </c>
      <c r="AG20" s="314">
        <v>0</v>
      </c>
      <c r="AH20" s="8"/>
      <c r="AI20" s="8"/>
    </row>
    <row r="21" ht="12.75" customHeight="1" spans="1:35" x14ac:dyDescent="0.25">
      <c r="A21" s="8"/>
      <c r="B21" s="8"/>
      <c r="C21" s="130"/>
      <c r="D21" s="8"/>
      <c r="E21" s="8"/>
      <c r="F21" s="394"/>
      <c r="G21" s="394"/>
      <c r="H21" s="394"/>
      <c r="I21" s="394"/>
      <c r="J21" s="395"/>
      <c r="K21" s="394"/>
      <c r="L21" s="394"/>
      <c r="M21" s="394"/>
      <c r="N21" s="394"/>
      <c r="O21" s="395"/>
      <c r="P21" s="394"/>
      <c r="Q21" s="394"/>
      <c r="R21" s="394"/>
      <c r="S21" s="394"/>
      <c r="T21" s="395"/>
      <c r="U21" s="314"/>
      <c r="V21" s="314"/>
      <c r="W21" s="314"/>
      <c r="X21" s="314"/>
      <c r="Y21" s="395"/>
      <c r="Z21" s="314"/>
      <c r="AA21" s="314"/>
      <c r="AB21" s="314"/>
      <c r="AC21" s="314"/>
      <c r="AD21" s="395"/>
      <c r="AE21" s="314"/>
      <c r="AF21" s="314"/>
      <c r="AG21" s="314"/>
      <c r="AH21" s="8"/>
      <c r="AI21" s="8"/>
    </row>
    <row r="22" ht="12.75" customHeight="1" hidden="1" spans="1:35" x14ac:dyDescent="0.25">
      <c r="A22" s="8"/>
      <c r="B22" s="8"/>
      <c r="C22" s="8">
        <f>IF($C$5="Operating Margins",'Segment Analysis'!C20,"")</f>
      </c>
      <c r="D22" s="8"/>
      <c r="E22" s="8"/>
      <c r="F22" s="394">
        <f>'Segment Analysis'!F159</f>
        <v>0</v>
      </c>
      <c r="G22" s="394">
        <f>'Segment Analysis'!G159</f>
        <v>0</v>
      </c>
      <c r="H22" s="394">
        <f>'Segment Analysis'!H159</f>
        <v>0</v>
      </c>
      <c r="I22" s="394">
        <f>'Segment Analysis'!I159</f>
        <v>0</v>
      </c>
      <c r="J22" s="395">
        <f>'Segment Analysis'!J159</f>
        <v>0</v>
      </c>
      <c r="K22" s="394">
        <f>'Segment Analysis'!K159</f>
        <v>0</v>
      </c>
      <c r="L22" s="394">
        <f>'Segment Analysis'!L159</f>
        <v>0</v>
      </c>
      <c r="M22" s="394">
        <f>'Segment Analysis'!M159</f>
        <v>0</v>
      </c>
      <c r="N22" s="394">
        <f>'Segment Analysis'!N159</f>
        <v>0</v>
      </c>
      <c r="O22" s="395">
        <f>'Segment Analysis'!O159</f>
        <v>0</v>
      </c>
      <c r="P22" s="394">
        <f>'Segment Analysis'!P159</f>
        <v>0</v>
      </c>
      <c r="Q22" s="394">
        <f>'Segment Analysis'!Q159</f>
        <v>0</v>
      </c>
      <c r="R22" s="394">
        <f>'Segment Analysis'!R159</f>
        <v>0</v>
      </c>
      <c r="S22" s="394">
        <f>'Segment Analysis'!S159</f>
        <v>0</v>
      </c>
      <c r="T22" s="395">
        <f>'Segment Analysis'!T159</f>
        <v>0</v>
      </c>
      <c r="U22" s="396">
        <f>IF(Case_Scenario="Bull",U23,IF(Case_Scenario="Base",U24,IF(Case_Scenario="bear",U25,"N/A")))</f>
        <v>0.14</v>
      </c>
      <c r="V22" s="396">
        <f>IF(Case_Scenario="Bull",V23,IF(Case_Scenario="Base",V24,IF(Case_Scenario="bear",V25,"N/A")))</f>
        <v>0.145</v>
      </c>
      <c r="W22" s="396">
        <f>IF(Case_Scenario="Bull",W23,IF(Case_Scenario="Base",W24,IF(Case_Scenario="bear",W25,"N/A")))</f>
        <v>0.12</v>
      </c>
      <c r="X22" s="396">
        <f>IF(Case_Scenario="Bull",X23,IF(Case_Scenario="Base",X24,IF(Case_Scenario="bear",X25,"N/A")))</f>
        <v>0.13</v>
      </c>
      <c r="Y22" s="395">
        <f>'Segment Analysis'!Y159</f>
        <v>0.1347532262809421</v>
      </c>
      <c r="Z22" s="396">
        <f>IF(Case_Scenario="Bull",Z23,IF(Case_Scenario="Base",Z24,IF(Case_Scenario="bear",Z25,"N/A")))</f>
        <v>0.14</v>
      </c>
      <c r="AA22" s="396">
        <f>IF(Case_Scenario="Bull",AA23,IF(Case_Scenario="Base",AA24,IF(Case_Scenario="bear",AA25,"N/A")))</f>
        <v>0.145</v>
      </c>
      <c r="AB22" s="396">
        <f>IF(Case_Scenario="Bull",AB23,IF(Case_Scenario="Base",AB24,IF(Case_Scenario="bear",AB25,"N/A")))</f>
        <v>0.12</v>
      </c>
      <c r="AC22" s="396">
        <f>IF(Case_Scenario="Bull",AC23,IF(Case_Scenario="Base",AC24,IF(Case_Scenario="bear",AC25,"N/A")))</f>
        <v>0.135</v>
      </c>
      <c r="AD22" s="395">
        <f>'Segment Analysis'!AD159</f>
        <v>0.13476884796985902</v>
      </c>
      <c r="AE22" s="395">
        <f>IF(Case_Scenario="Bull",AE23,IF(Case_Scenario="Base",AE24,IF(Case_Scenario="bear",AE25,"N/A")))</f>
        <v>0.139</v>
      </c>
      <c r="AF22" s="395">
        <f>IF(Case_Scenario="Bull",AF23,IF(Case_Scenario="Base",AF24,IF(Case_Scenario="bear",AF25,"N/A")))</f>
        <v>0.14</v>
      </c>
      <c r="AG22" s="395">
        <f>IF(Case_Scenario="Bull",AG23,IF(Case_Scenario="Base",AG24,IF(Case_Scenario="bear",AG25,"N/A")))</f>
        <v>0.142</v>
      </c>
      <c r="AH22" s="8"/>
      <c r="AI22" s="8"/>
    </row>
    <row r="23" ht="12.75" customHeight="1" hidden="1" spans="1:35" x14ac:dyDescent="0.25">
      <c r="A23" s="8"/>
      <c r="B23" s="8"/>
      <c r="C23" s="130">
        <f>IF(C22="","","Bull Case")</f>
      </c>
      <c r="D23" s="8"/>
      <c r="E23" s="8"/>
      <c r="F23" s="394"/>
      <c r="G23" s="394"/>
      <c r="H23" s="394"/>
      <c r="I23" s="394"/>
      <c r="J23" s="395"/>
      <c r="K23" s="394"/>
      <c r="L23" s="394"/>
      <c r="M23" s="394"/>
      <c r="N23" s="394"/>
      <c r="O23" s="395"/>
      <c r="P23" s="394"/>
      <c r="Q23" s="394"/>
      <c r="R23" s="394"/>
      <c r="S23" s="394"/>
      <c r="T23" s="395"/>
      <c r="U23" s="313">
        <v>0.145</v>
      </c>
      <c r="V23" s="313">
        <v>0.15</v>
      </c>
      <c r="W23" s="313">
        <v>0.15</v>
      </c>
      <c r="X23" s="313">
        <v>0.15</v>
      </c>
      <c r="Y23" s="395"/>
      <c r="Z23" s="313">
        <v>0.145</v>
      </c>
      <c r="AA23" s="313">
        <v>0.15</v>
      </c>
      <c r="AB23" s="313">
        <v>0.15</v>
      </c>
      <c r="AC23" s="313">
        <v>0.15</v>
      </c>
      <c r="AD23" s="395"/>
      <c r="AE23" s="314">
        <v>0.15</v>
      </c>
      <c r="AF23" s="314">
        <v>0.15</v>
      </c>
      <c r="AG23" s="314">
        <v>0.15</v>
      </c>
      <c r="AH23" s="8"/>
      <c r="AI23" s="8"/>
    </row>
    <row r="24" ht="12.75" customHeight="1" hidden="1" spans="1:35" x14ac:dyDescent="0.25">
      <c r="A24" s="8"/>
      <c r="B24" s="8"/>
      <c r="C24" s="130">
        <f>IF(C22="","","Base Case")</f>
      </c>
      <c r="D24" s="8"/>
      <c r="E24" s="8"/>
      <c r="F24" s="394"/>
      <c r="G24" s="394"/>
      <c r="H24" s="394"/>
      <c r="I24" s="394"/>
      <c r="J24" s="395"/>
      <c r="K24" s="394"/>
      <c r="L24" s="394"/>
      <c r="M24" s="394"/>
      <c r="N24" s="394"/>
      <c r="O24" s="395"/>
      <c r="P24" s="394"/>
      <c r="Q24" s="394"/>
      <c r="R24" s="394"/>
      <c r="S24" s="394"/>
      <c r="T24" s="395"/>
      <c r="U24" s="313">
        <v>0.14</v>
      </c>
      <c r="V24" s="313">
        <v>0.145</v>
      </c>
      <c r="W24" s="313">
        <v>0.12</v>
      </c>
      <c r="X24" s="313">
        <v>0.13</v>
      </c>
      <c r="Y24" s="395"/>
      <c r="Z24" s="313">
        <v>0.14</v>
      </c>
      <c r="AA24" s="313">
        <v>0.145</v>
      </c>
      <c r="AB24" s="313">
        <v>0.12</v>
      </c>
      <c r="AC24" s="313">
        <v>0.135</v>
      </c>
      <c r="AD24" s="395"/>
      <c r="AE24" s="314">
        <v>0.139</v>
      </c>
      <c r="AF24" s="314">
        <v>0.14</v>
      </c>
      <c r="AG24" s="314">
        <v>0.142</v>
      </c>
      <c r="AH24" s="8"/>
      <c r="AI24" s="8"/>
    </row>
    <row r="25" ht="12.75" customHeight="1" hidden="1" spans="1:35" x14ac:dyDescent="0.25">
      <c r="A25" s="8"/>
      <c r="B25" s="8"/>
      <c r="C25" s="130">
        <f>IF(C22="","","Bear Case")</f>
      </c>
      <c r="D25" s="8"/>
      <c r="E25" s="8"/>
      <c r="F25" s="394"/>
      <c r="G25" s="394"/>
      <c r="H25" s="394"/>
      <c r="I25" s="394"/>
      <c r="J25" s="395"/>
      <c r="K25" s="394"/>
      <c r="L25" s="394"/>
      <c r="M25" s="394"/>
      <c r="N25" s="394"/>
      <c r="O25" s="395"/>
      <c r="P25" s="394"/>
      <c r="Q25" s="394"/>
      <c r="R25" s="394"/>
      <c r="S25" s="394"/>
      <c r="T25" s="395"/>
      <c r="U25" s="313">
        <v>0.08</v>
      </c>
      <c r="V25" s="313">
        <v>0.08</v>
      </c>
      <c r="W25" s="313">
        <v>0.08</v>
      </c>
      <c r="X25" s="313">
        <v>0.08</v>
      </c>
      <c r="Y25" s="395"/>
      <c r="Z25" s="313">
        <v>0.08</v>
      </c>
      <c r="AA25" s="313">
        <v>0.08</v>
      </c>
      <c r="AB25" s="313">
        <v>0.08</v>
      </c>
      <c r="AC25" s="313">
        <v>0.08</v>
      </c>
      <c r="AD25" s="395"/>
      <c r="AE25" s="314">
        <v>0.085</v>
      </c>
      <c r="AF25" s="314">
        <v>0.09</v>
      </c>
      <c r="AG25" s="314">
        <v>0.105</v>
      </c>
      <c r="AH25" s="8"/>
      <c r="AI25" s="8"/>
    </row>
    <row r="26" ht="12.75" customHeight="1" hidden="1" spans="1:35" x14ac:dyDescent="0.25">
      <c r="A26" s="8"/>
      <c r="B26" s="8"/>
      <c r="C26" s="130"/>
      <c r="D26" s="8"/>
      <c r="E26" s="8"/>
      <c r="F26" s="394"/>
      <c r="G26" s="394"/>
      <c r="H26" s="394"/>
      <c r="I26" s="394"/>
      <c r="J26" s="395"/>
      <c r="K26" s="394"/>
      <c r="L26" s="394"/>
      <c r="M26" s="394"/>
      <c r="N26" s="394"/>
      <c r="O26" s="395"/>
      <c r="P26" s="394"/>
      <c r="Q26" s="394"/>
      <c r="R26" s="394"/>
      <c r="S26" s="394"/>
      <c r="T26" s="395"/>
      <c r="U26" s="313"/>
      <c r="V26" s="313"/>
      <c r="W26" s="313"/>
      <c r="X26" s="313"/>
      <c r="Y26" s="395"/>
      <c r="Z26" s="313"/>
      <c r="AA26" s="313"/>
      <c r="AB26" s="313"/>
      <c r="AC26" s="313"/>
      <c r="AD26" s="395"/>
      <c r="AE26" s="314"/>
      <c r="AF26" s="314"/>
      <c r="AG26" s="314"/>
      <c r="AH26" s="8"/>
      <c r="AI26" s="8"/>
    </row>
    <row r="27" ht="12.75" customHeight="1" hidden="1" spans="1:35" x14ac:dyDescent="0.25">
      <c r="A27" s="8"/>
      <c r="B27" s="8"/>
      <c r="C27" s="8">
        <f>IF($C$5="Operating Margins",'Segment Analysis'!C21,"")</f>
      </c>
      <c r="D27" s="8"/>
      <c r="E27" s="8"/>
      <c r="F27" s="394">
        <f>'Segment Analysis'!F160</f>
        <v>0</v>
      </c>
      <c r="G27" s="394">
        <f>'Segment Analysis'!G160</f>
        <v>0</v>
      </c>
      <c r="H27" s="394">
        <f>'Segment Analysis'!H160</f>
        <v>0</v>
      </c>
      <c r="I27" s="394">
        <f>'Segment Analysis'!I160</f>
        <v>0</v>
      </c>
      <c r="J27" s="395">
        <f>'Segment Analysis'!J160</f>
        <v>0</v>
      </c>
      <c r="K27" s="394">
        <f>'Segment Analysis'!K160</f>
        <v>0</v>
      </c>
      <c r="L27" s="394">
        <f>'Segment Analysis'!L160</f>
        <v>0</v>
      </c>
      <c r="M27" s="394">
        <f>'Segment Analysis'!M160</f>
        <v>0</v>
      </c>
      <c r="N27" s="394">
        <f>'Segment Analysis'!N160</f>
        <v>0</v>
      </c>
      <c r="O27" s="395">
        <f>'Segment Analysis'!O160</f>
        <v>0</v>
      </c>
      <c r="P27" s="394">
        <f>'Segment Analysis'!P160</f>
        <v>0</v>
      </c>
      <c r="Q27" s="394">
        <f>'Segment Analysis'!Q160</f>
        <v>0</v>
      </c>
      <c r="R27" s="394">
        <f>'Segment Analysis'!R160</f>
        <v>0</v>
      </c>
      <c r="S27" s="394">
        <f>'Segment Analysis'!S160</f>
        <v>0</v>
      </c>
      <c r="T27" s="395">
        <f>'Segment Analysis'!T160</f>
        <v>0</v>
      </c>
      <c r="U27" s="396">
        <f>IF(Case_Scenario="Bull",U28,IF(Case_Scenario="Base",U29,IF(Case_Scenario="bear",U30,"N/A")))</f>
        <v>0.14</v>
      </c>
      <c r="V27" s="396">
        <f>IF(Case_Scenario="Bull",V28,IF(Case_Scenario="Base",V29,IF(Case_Scenario="bear",V30,"N/A")))</f>
        <v>0.145</v>
      </c>
      <c r="W27" s="396">
        <f>IF(Case_Scenario="Bull",W28,IF(Case_Scenario="Base",W29,IF(Case_Scenario="bear",W30,"N/A")))</f>
        <v>0.12</v>
      </c>
      <c r="X27" s="396">
        <f>IF(Case_Scenario="Bull",X28,IF(Case_Scenario="Base",X29,IF(Case_Scenario="bear",X30,"N/A")))</f>
        <v>0.13</v>
      </c>
      <c r="Y27" s="395">
        <f>'Segment Analysis'!Y160</f>
        <v>0.13513407851968542</v>
      </c>
      <c r="Z27" s="396">
        <f>IF(Case_Scenario="Bull",Z28,IF(Case_Scenario="Base",Z29,IF(Case_Scenario="bear",Z30,"N/A")))</f>
        <v>0.14</v>
      </c>
      <c r="AA27" s="396">
        <f>IF(Case_Scenario="Bull",AA28,IF(Case_Scenario="Base",AA29,IF(Case_Scenario="bear",AA30,"N/A")))</f>
        <v>0.145</v>
      </c>
      <c r="AB27" s="396">
        <f>IF(Case_Scenario="Bull",AB28,IF(Case_Scenario="Base",AB29,IF(Case_Scenario="bear",AB30,"N/A")))</f>
        <v>0.12</v>
      </c>
      <c r="AC27" s="396">
        <f>IF(Case_Scenario="Bull",AC28,IF(Case_Scenario="Base",AC29,IF(Case_Scenario="bear",AC30,"N/A")))</f>
        <v>0.135</v>
      </c>
      <c r="AD27" s="395">
        <f>'Segment Analysis'!AD160</f>
        <v>0.13512167721694218</v>
      </c>
      <c r="AE27" s="395">
        <f>IF(Case_Scenario="Bull",AE28,IF(Case_Scenario="Base",AE29,IF(Case_Scenario="bear",AE30,"N/A")))</f>
        <v>0.139</v>
      </c>
      <c r="AF27" s="395">
        <f>IF(Case_Scenario="Bull",AF28,IF(Case_Scenario="Base",AF29,IF(Case_Scenario="bear",AF30,"N/A")))</f>
        <v>0.14</v>
      </c>
      <c r="AG27" s="395">
        <f>IF(Case_Scenario="Bull",AG28,IF(Case_Scenario="Base",AG29,IF(Case_Scenario="bear",AG30,"N/A")))</f>
        <v>0.142</v>
      </c>
      <c r="AH27" s="8"/>
      <c r="AI27" s="8"/>
    </row>
    <row r="28" ht="12.75" customHeight="1" hidden="1" spans="1:35" x14ac:dyDescent="0.25">
      <c r="A28" s="8"/>
      <c r="B28" s="8"/>
      <c r="C28" s="130">
        <f>IF(C27="","","Bull Case")</f>
      </c>
      <c r="D28" s="8"/>
      <c r="E28" s="8"/>
      <c r="F28" s="394"/>
      <c r="G28" s="394"/>
      <c r="H28" s="394"/>
      <c r="I28" s="394"/>
      <c r="J28" s="395"/>
      <c r="K28" s="394"/>
      <c r="L28" s="394"/>
      <c r="M28" s="394"/>
      <c r="N28" s="394"/>
      <c r="O28" s="395"/>
      <c r="P28" s="394"/>
      <c r="Q28" s="394"/>
      <c r="R28" s="394"/>
      <c r="S28" s="394"/>
      <c r="T28" s="395"/>
      <c r="U28" s="313">
        <v>0.145</v>
      </c>
      <c r="V28" s="313">
        <v>0.15</v>
      </c>
      <c r="W28" s="313">
        <v>0.15</v>
      </c>
      <c r="X28" s="313">
        <v>0.15</v>
      </c>
      <c r="Y28" s="395"/>
      <c r="Z28" s="313">
        <v>0.145</v>
      </c>
      <c r="AA28" s="313">
        <v>0.15</v>
      </c>
      <c r="AB28" s="313">
        <v>0.15</v>
      </c>
      <c r="AC28" s="313">
        <v>0.15</v>
      </c>
      <c r="AD28" s="395"/>
      <c r="AE28" s="314">
        <v>0.15</v>
      </c>
      <c r="AF28" s="314">
        <v>0.15</v>
      </c>
      <c r="AG28" s="314">
        <v>0.15</v>
      </c>
      <c r="AH28" s="8"/>
      <c r="AI28" s="8"/>
    </row>
    <row r="29" ht="12.75" customHeight="1" hidden="1" spans="1:35" x14ac:dyDescent="0.25">
      <c r="A29" s="257" t="s">
        <v>3</v>
      </c>
      <c r="B29" s="8"/>
      <c r="C29" s="130">
        <f>IF(C27="","","Base Case")</f>
      </c>
      <c r="D29" s="8"/>
      <c r="E29" s="8"/>
      <c r="F29" s="394"/>
      <c r="G29" s="394"/>
      <c r="H29" s="394"/>
      <c r="I29" s="394"/>
      <c r="J29" s="395"/>
      <c r="K29" s="394"/>
      <c r="L29" s="394"/>
      <c r="M29" s="394"/>
      <c r="N29" s="394"/>
      <c r="O29" s="395"/>
      <c r="P29" s="394"/>
      <c r="Q29" s="394"/>
      <c r="R29" s="394"/>
      <c r="S29" s="394"/>
      <c r="T29" s="395"/>
      <c r="U29" s="313">
        <v>0.14</v>
      </c>
      <c r="V29" s="313">
        <v>0.145</v>
      </c>
      <c r="W29" s="313">
        <v>0.12</v>
      </c>
      <c r="X29" s="313">
        <v>0.13</v>
      </c>
      <c r="Y29" s="395"/>
      <c r="Z29" s="313">
        <v>0.14</v>
      </c>
      <c r="AA29" s="313">
        <v>0.145</v>
      </c>
      <c r="AB29" s="313">
        <v>0.12</v>
      </c>
      <c r="AC29" s="313">
        <v>0.135</v>
      </c>
      <c r="AD29" s="395"/>
      <c r="AE29" s="314">
        <v>0.139</v>
      </c>
      <c r="AF29" s="314">
        <v>0.14</v>
      </c>
      <c r="AG29" s="314">
        <v>0.142</v>
      </c>
      <c r="AH29" s="257" t="s">
        <v>3</v>
      </c>
      <c r="AI29" s="257"/>
    </row>
    <row r="30" ht="12.75" customHeight="1" hidden="1" spans="1:35" x14ac:dyDescent="0.25">
      <c r="A30" s="8"/>
      <c r="B30" s="8"/>
      <c r="C30" s="130">
        <f>IF(C27="","","Bear Case")</f>
      </c>
      <c r="D30" s="8"/>
      <c r="E30" s="8"/>
      <c r="F30" s="394"/>
      <c r="G30" s="394"/>
      <c r="H30" s="394"/>
      <c r="I30" s="394"/>
      <c r="J30" s="395"/>
      <c r="K30" s="394"/>
      <c r="L30" s="394"/>
      <c r="M30" s="394"/>
      <c r="N30" s="394"/>
      <c r="O30" s="395"/>
      <c r="P30" s="394"/>
      <c r="Q30" s="394"/>
      <c r="R30" s="394"/>
      <c r="S30" s="394"/>
      <c r="T30" s="395"/>
      <c r="U30" s="313">
        <v>0.08</v>
      </c>
      <c r="V30" s="313">
        <v>0.08</v>
      </c>
      <c r="W30" s="313">
        <v>0.08</v>
      </c>
      <c r="X30" s="313">
        <v>0.08</v>
      </c>
      <c r="Y30" s="395"/>
      <c r="Z30" s="313">
        <v>0.08</v>
      </c>
      <c r="AA30" s="313">
        <v>0.08</v>
      </c>
      <c r="AB30" s="313">
        <v>0.08</v>
      </c>
      <c r="AC30" s="313">
        <v>0.08</v>
      </c>
      <c r="AD30" s="395"/>
      <c r="AE30" s="314">
        <v>0.085</v>
      </c>
      <c r="AF30" s="314">
        <v>0.09</v>
      </c>
      <c r="AG30" s="314">
        <v>0.105</v>
      </c>
      <c r="AH30" s="8"/>
      <c r="AI30" s="8"/>
    </row>
    <row r="31" ht="12.75" customHeight="1" hidden="1" spans="1:35" x14ac:dyDescent="0.25">
      <c r="A31" s="8"/>
      <c r="B31" s="8"/>
      <c r="C31" s="130"/>
      <c r="D31" s="8"/>
      <c r="E31" s="8"/>
      <c r="F31" s="394"/>
      <c r="G31" s="394"/>
      <c r="H31" s="394"/>
      <c r="I31" s="394"/>
      <c r="J31" s="395"/>
      <c r="K31" s="394"/>
      <c r="L31" s="394"/>
      <c r="M31" s="394"/>
      <c r="N31" s="394"/>
      <c r="O31" s="395"/>
      <c r="P31" s="394"/>
      <c r="Q31" s="394"/>
      <c r="R31" s="394"/>
      <c r="S31" s="394"/>
      <c r="T31" s="395"/>
      <c r="U31" s="313"/>
      <c r="V31" s="313"/>
      <c r="W31" s="313"/>
      <c r="X31" s="313"/>
      <c r="Y31" s="395"/>
      <c r="Z31" s="313"/>
      <c r="AA31" s="313"/>
      <c r="AB31" s="313"/>
      <c r="AC31" s="313"/>
      <c r="AD31" s="395"/>
      <c r="AE31" s="314"/>
      <c r="AF31" s="314"/>
      <c r="AG31" s="314"/>
      <c r="AH31" s="8"/>
      <c r="AI31" s="8"/>
    </row>
    <row r="32" ht="12.75" customHeight="1" hidden="1" spans="1:35" x14ac:dyDescent="0.25">
      <c r="A32" s="8"/>
      <c r="B32" s="8"/>
      <c r="C32" s="8">
        <f>IF($C$5="Operating Margins",'Segment Analysis'!C22,"")</f>
      </c>
      <c r="D32" s="8"/>
      <c r="E32" s="8"/>
      <c r="F32" s="394" t="str">
        <f>'Segment Analysis'!F161</f>
        <v>N/A</v>
      </c>
      <c r="G32" s="394" t="str">
        <f>'Segment Analysis'!G161</f>
        <v>N/A</v>
      </c>
      <c r="H32" s="394" t="str">
        <f>'Segment Analysis'!H161</f>
        <v>N/A</v>
      </c>
      <c r="I32" s="394" t="str">
        <f>'Segment Analysis'!I161</f>
        <v>N/A</v>
      </c>
      <c r="J32" s="395" t="str">
        <f>'Segment Analysis'!J161</f>
        <v>N/A</v>
      </c>
      <c r="K32" s="394" t="str">
        <f>'Segment Analysis'!K161</f>
        <v>N/A</v>
      </c>
      <c r="L32" s="394" t="str">
        <f>'Segment Analysis'!L161</f>
        <v>N/A</v>
      </c>
      <c r="M32" s="394" t="str">
        <f>'Segment Analysis'!M161</f>
        <v>N/A</v>
      </c>
      <c r="N32" s="394" t="str">
        <f>'Segment Analysis'!N161</f>
        <v>N/A</v>
      </c>
      <c r="O32" s="395" t="str">
        <f>'Segment Analysis'!O161</f>
        <v>N/A</v>
      </c>
      <c r="P32" s="394" t="str">
        <f>'Segment Analysis'!P161</f>
        <v>N/A</v>
      </c>
      <c r="Q32" s="394" t="str">
        <f>'Segment Analysis'!Q161</f>
        <v>N/A</v>
      </c>
      <c r="R32" s="394" t="str">
        <f>'Segment Analysis'!R161</f>
        <v>N/A</v>
      </c>
      <c r="S32" s="394" t="str">
        <f>'Segment Analysis'!S161</f>
        <v>N/A</v>
      </c>
      <c r="T32" s="395" t="str">
        <f>'Segment Analysis'!T161</f>
        <v>N/A</v>
      </c>
      <c r="U32" s="396">
        <f>IF(Case_Scenario="Bull",U33,IF(Case_Scenario="Base",U34,IF(Case_Scenario="bear",U35,"N/A")))</f>
        <v>0.14</v>
      </c>
      <c r="V32" s="396">
        <f>IF(Case_Scenario="Bull",V33,IF(Case_Scenario="Base",V34,IF(Case_Scenario="bear",V35,"N/A")))</f>
        <v>0.145</v>
      </c>
      <c r="W32" s="396">
        <f>IF(Case_Scenario="Bull",W33,IF(Case_Scenario="Base",W34,IF(Case_Scenario="bear",W35,"N/A")))</f>
        <v>0.12</v>
      </c>
      <c r="X32" s="396">
        <f>IF(Case_Scenario="Bull",X33,IF(Case_Scenario="Base",X34,IF(Case_Scenario="bear",X35,"N/A")))</f>
        <v>0.13</v>
      </c>
      <c r="Y32" s="395" t="str">
        <f>'Segment Analysis'!Y161</f>
        <v>N/A</v>
      </c>
      <c r="Z32" s="396">
        <f>IF(Case_Scenario="Bull",Z33,IF(Case_Scenario="Base",Z34,IF(Case_Scenario="bear",Z35,"N/A")))</f>
        <v>0.14</v>
      </c>
      <c r="AA32" s="396">
        <f>IF(Case_Scenario="Bull",AA33,IF(Case_Scenario="Base",AA34,IF(Case_Scenario="bear",AA35,"N/A")))</f>
        <v>0.145</v>
      </c>
      <c r="AB32" s="396">
        <f>IF(Case_Scenario="Bull",AB33,IF(Case_Scenario="Base",AB34,IF(Case_Scenario="bear",AB35,"N/A")))</f>
        <v>0.12</v>
      </c>
      <c r="AC32" s="396">
        <f>IF(Case_Scenario="Bull",AC33,IF(Case_Scenario="Base",AC34,IF(Case_Scenario="bear",AC35,"N/A")))</f>
        <v>0.135</v>
      </c>
      <c r="AD32" s="395" t="str">
        <f>'Segment Analysis'!AD161</f>
        <v>N/A</v>
      </c>
      <c r="AE32" s="395">
        <f>IF(Case_Scenario="Bull",AE33,IF(Case_Scenario="Base",AE34,IF(Case_Scenario="bear",AE35,"N/A")))</f>
        <v>0.139</v>
      </c>
      <c r="AF32" s="395">
        <f>IF(Case_Scenario="Bull",AF33,IF(Case_Scenario="Base",AF34,IF(Case_Scenario="bear",AF35,"N/A")))</f>
        <v>0.14</v>
      </c>
      <c r="AG32" s="395">
        <f>IF(Case_Scenario="Bull",AG33,IF(Case_Scenario="Base",AG34,IF(Case_Scenario="bear",AG35,"N/A")))</f>
        <v>0.142</v>
      </c>
      <c r="AH32" s="8"/>
      <c r="AI32" s="8"/>
    </row>
    <row r="33" ht="12.75" customHeight="1" hidden="1" spans="1:35" x14ac:dyDescent="0.25">
      <c r="A33" s="8"/>
      <c r="B33" s="8"/>
      <c r="C33" s="130">
        <f>IF(C32="","","Bull Case")</f>
      </c>
      <c r="D33" s="8"/>
      <c r="E33" s="8"/>
      <c r="F33" s="394"/>
      <c r="G33" s="394"/>
      <c r="H33" s="394"/>
      <c r="I33" s="394"/>
      <c r="J33" s="395"/>
      <c r="K33" s="394"/>
      <c r="L33" s="394"/>
      <c r="M33" s="394"/>
      <c r="N33" s="394"/>
      <c r="O33" s="395"/>
      <c r="P33" s="394"/>
      <c r="Q33" s="394"/>
      <c r="R33" s="394"/>
      <c r="S33" s="394"/>
      <c r="T33" s="395"/>
      <c r="U33" s="313">
        <v>0.145</v>
      </c>
      <c r="V33" s="313">
        <v>0.15</v>
      </c>
      <c r="W33" s="313">
        <v>0.15</v>
      </c>
      <c r="X33" s="313">
        <v>0.15</v>
      </c>
      <c r="Y33" s="395"/>
      <c r="Z33" s="313">
        <v>0.145</v>
      </c>
      <c r="AA33" s="313">
        <v>0.15</v>
      </c>
      <c r="AB33" s="313">
        <v>0.15</v>
      </c>
      <c r="AC33" s="313">
        <v>0.15</v>
      </c>
      <c r="AD33" s="395"/>
      <c r="AE33" s="314">
        <v>0.15</v>
      </c>
      <c r="AF33" s="314">
        <v>0.15</v>
      </c>
      <c r="AG33" s="314">
        <v>0.15</v>
      </c>
      <c r="AH33" s="8"/>
      <c r="AI33" s="8"/>
    </row>
    <row r="34" ht="12.75" customHeight="1" hidden="1" spans="1:35" x14ac:dyDescent="0.25">
      <c r="A34" s="8"/>
      <c r="B34" s="8"/>
      <c r="C34" s="130">
        <f>IF(C32="","","Base Case")</f>
      </c>
      <c r="D34" s="8"/>
      <c r="E34" s="8"/>
      <c r="F34" s="394"/>
      <c r="G34" s="394"/>
      <c r="H34" s="394"/>
      <c r="I34" s="394"/>
      <c r="J34" s="395"/>
      <c r="K34" s="394"/>
      <c r="L34" s="394"/>
      <c r="M34" s="394"/>
      <c r="N34" s="394"/>
      <c r="O34" s="395"/>
      <c r="P34" s="394"/>
      <c r="Q34" s="394"/>
      <c r="R34" s="394"/>
      <c r="S34" s="394"/>
      <c r="T34" s="395"/>
      <c r="U34" s="313">
        <v>0.14</v>
      </c>
      <c r="V34" s="313">
        <v>0.145</v>
      </c>
      <c r="W34" s="313">
        <v>0.12</v>
      </c>
      <c r="X34" s="313">
        <v>0.13</v>
      </c>
      <c r="Y34" s="395"/>
      <c r="Z34" s="313">
        <v>0.14</v>
      </c>
      <c r="AA34" s="313">
        <v>0.145</v>
      </c>
      <c r="AB34" s="313">
        <v>0.12</v>
      </c>
      <c r="AC34" s="313">
        <v>0.135</v>
      </c>
      <c r="AD34" s="395"/>
      <c r="AE34" s="314">
        <v>0.139</v>
      </c>
      <c r="AF34" s="314">
        <v>0.14</v>
      </c>
      <c r="AG34" s="314">
        <v>0.142</v>
      </c>
      <c r="AH34" s="8"/>
      <c r="AI34" s="8"/>
    </row>
    <row r="35" ht="12.75" customHeight="1" hidden="1" spans="1:35" x14ac:dyDescent="0.25">
      <c r="A35" s="8"/>
      <c r="B35" s="8"/>
      <c r="C35" s="130">
        <f>IF(C32="","","Bear Case")</f>
      </c>
      <c r="D35" s="8"/>
      <c r="E35" s="8"/>
      <c r="F35" s="394"/>
      <c r="G35" s="394"/>
      <c r="H35" s="394"/>
      <c r="I35" s="394"/>
      <c r="J35" s="395"/>
      <c r="K35" s="394"/>
      <c r="L35" s="394"/>
      <c r="M35" s="394"/>
      <c r="N35" s="394"/>
      <c r="O35" s="395"/>
      <c r="P35" s="394"/>
      <c r="Q35" s="394"/>
      <c r="R35" s="394"/>
      <c r="S35" s="394"/>
      <c r="T35" s="395"/>
      <c r="U35" s="313">
        <v>0.08</v>
      </c>
      <c r="V35" s="313">
        <v>0.08</v>
      </c>
      <c r="W35" s="313">
        <v>0.08</v>
      </c>
      <c r="X35" s="313">
        <v>0.08</v>
      </c>
      <c r="Y35" s="395"/>
      <c r="Z35" s="313">
        <v>0.08</v>
      </c>
      <c r="AA35" s="313">
        <v>0.08</v>
      </c>
      <c r="AB35" s="313">
        <v>0.08</v>
      </c>
      <c r="AC35" s="313">
        <v>0.08</v>
      </c>
      <c r="AD35" s="395"/>
      <c r="AE35" s="314">
        <v>0.085</v>
      </c>
      <c r="AF35" s="314">
        <v>0.09</v>
      </c>
      <c r="AG35" s="314">
        <v>0.105</v>
      </c>
      <c r="AH35" s="8"/>
      <c r="AI35" s="8"/>
    </row>
    <row r="36" ht="12.75" customHeight="1" hidden="1" spans="1:35" x14ac:dyDescent="0.25">
      <c r="A36" s="8"/>
      <c r="B36" s="8"/>
      <c r="C36" s="130"/>
      <c r="D36" s="8"/>
      <c r="E36" s="8"/>
      <c r="F36" s="394"/>
      <c r="G36" s="394"/>
      <c r="H36" s="394"/>
      <c r="I36" s="394"/>
      <c r="J36" s="395"/>
      <c r="K36" s="394"/>
      <c r="L36" s="394"/>
      <c r="M36" s="394"/>
      <c r="N36" s="394"/>
      <c r="O36" s="395"/>
      <c r="P36" s="394"/>
      <c r="Q36" s="394"/>
      <c r="R36" s="394"/>
      <c r="S36" s="394"/>
      <c r="T36" s="395"/>
      <c r="U36" s="313"/>
      <c r="V36" s="313"/>
      <c r="W36" s="313"/>
      <c r="X36" s="313"/>
      <c r="Y36" s="395"/>
      <c r="Z36" s="313"/>
      <c r="AA36" s="313"/>
      <c r="AB36" s="313"/>
      <c r="AC36" s="313"/>
      <c r="AD36" s="395"/>
      <c r="AE36" s="314"/>
      <c r="AF36" s="314"/>
      <c r="AG36" s="314"/>
      <c r="AH36" s="8"/>
      <c r="AI36" s="8"/>
    </row>
    <row r="37" ht="12.75" customHeight="1" hidden="1" spans="1:35" x14ac:dyDescent="0.25">
      <c r="A37" s="8"/>
      <c r="B37" s="8"/>
      <c r="C37" s="8"/>
      <c r="D37" s="8"/>
      <c r="E37" s="8"/>
      <c r="F37" s="394"/>
      <c r="G37" s="394"/>
      <c r="H37" s="394"/>
      <c r="I37" s="394"/>
      <c r="J37" s="395"/>
      <c r="K37" s="394"/>
      <c r="L37" s="394"/>
      <c r="M37" s="394"/>
      <c r="N37" s="394"/>
      <c r="O37" s="395"/>
      <c r="P37" s="394"/>
      <c r="Q37" s="394"/>
      <c r="R37" s="394"/>
      <c r="S37" s="394"/>
      <c r="T37" s="395"/>
      <c r="U37" s="396"/>
      <c r="V37" s="396"/>
      <c r="W37" s="396"/>
      <c r="X37" s="396"/>
      <c r="Y37" s="395"/>
      <c r="Z37" s="396"/>
      <c r="AA37" s="396"/>
      <c r="AB37" s="396"/>
      <c r="AC37" s="396"/>
      <c r="AD37" s="395"/>
      <c r="AE37" s="160"/>
      <c r="AF37" s="160"/>
      <c r="AG37" s="160"/>
      <c r="AH37" s="8"/>
      <c r="AI37" s="8"/>
    </row>
    <row r="38" ht="12.75" customHeight="1" spans="1:35" x14ac:dyDescent="0.25">
      <c r="A38" s="8"/>
      <c r="B38" s="8"/>
      <c r="C38" s="540" t="s">
        <v>482</v>
      </c>
      <c r="D38" s="541"/>
      <c r="E38" s="541"/>
      <c r="F38" s="542"/>
      <c r="G38" s="543"/>
      <c r="H38" s="543"/>
      <c r="I38" s="543"/>
      <c r="J38" s="543"/>
      <c r="K38" s="543"/>
      <c r="L38" s="543"/>
      <c r="M38" s="543"/>
      <c r="N38" s="543"/>
      <c r="O38" s="543"/>
      <c r="P38" s="543"/>
      <c r="Q38" s="543"/>
      <c r="R38" s="543"/>
      <c r="S38" s="543"/>
      <c r="T38" s="543"/>
      <c r="U38" s="543"/>
      <c r="V38" s="543"/>
      <c r="W38" s="543"/>
      <c r="X38" s="543"/>
      <c r="Y38" s="543"/>
      <c r="Z38" s="543"/>
      <c r="AA38" s="543"/>
      <c r="AB38" s="543"/>
      <c r="AC38" s="543"/>
      <c r="AD38" s="543"/>
      <c r="AE38" s="543"/>
      <c r="AF38" s="543"/>
      <c r="AG38" s="544"/>
      <c r="AH38" s="8"/>
      <c r="AI38" s="8"/>
    </row>
    <row r="39" ht="12.75" customHeight="1" spans="1:35" x14ac:dyDescent="0.25">
      <c r="A39" s="8"/>
      <c r="B39" s="8"/>
      <c r="C39" s="8"/>
      <c r="D39" s="8"/>
      <c r="E39" s="8"/>
      <c r="F39" s="394"/>
      <c r="G39" s="394"/>
      <c r="H39" s="394"/>
      <c r="I39" s="394"/>
      <c r="J39" s="395"/>
      <c r="K39" s="394"/>
      <c r="L39" s="394"/>
      <c r="M39" s="394"/>
      <c r="N39" s="394"/>
      <c r="O39" s="395"/>
      <c r="P39" s="394"/>
      <c r="Q39" s="394"/>
      <c r="R39" s="394"/>
      <c r="S39" s="394"/>
      <c r="T39" s="395"/>
      <c r="U39" s="395"/>
      <c r="V39" s="395"/>
      <c r="W39" s="395"/>
      <c r="X39" s="395"/>
      <c r="Y39" s="395"/>
      <c r="Z39" s="395"/>
      <c r="AA39" s="395"/>
      <c r="AB39" s="395"/>
      <c r="AC39" s="395"/>
      <c r="AD39" s="395"/>
      <c r="AE39" s="160"/>
      <c r="AF39" s="160"/>
      <c r="AG39" s="160"/>
      <c r="AH39" s="8"/>
      <c r="AI39" s="8"/>
    </row>
    <row r="40" ht="12.75" customHeight="1" spans="1:35" x14ac:dyDescent="0.25">
      <c r="A40" s="8"/>
      <c r="B40" s="8" t="s">
        <v>3</v>
      </c>
      <c r="C40" s="8" t="str">
        <f>Model!C69</f>
        <v>SG&amp;A as % of Revenue</v>
      </c>
      <c r="D40" s="8"/>
      <c r="E40" s="8"/>
      <c r="F40" s="394">
        <f>Model!F69</f>
        <v>0</v>
      </c>
      <c r="G40" s="394">
        <f>Model!G69</f>
        <v>0</v>
      </c>
      <c r="H40" s="394">
        <f>Model!H69</f>
        <v>0</v>
      </c>
      <c r="I40" s="394">
        <f>Model!I69</f>
        <v>0</v>
      </c>
      <c r="J40" s="395">
        <f>Model!J69</f>
        <v>0</v>
      </c>
      <c r="K40" s="394">
        <f>Model!K69</f>
        <v>0</v>
      </c>
      <c r="L40" s="394">
        <f>Model!L69</f>
        <v>0</v>
      </c>
      <c r="M40" s="394">
        <f>Model!M69</f>
        <v>0</v>
      </c>
      <c r="N40" s="394">
        <f>Model!N69</f>
        <v>0</v>
      </c>
      <c r="O40" s="395">
        <f>Model!O69</f>
        <v>0</v>
      </c>
      <c r="P40" s="394">
        <f>Model!P69</f>
        <v>0</v>
      </c>
      <c r="Q40" s="394">
        <f>Model!Q69</f>
        <v>0</v>
      </c>
      <c r="R40" s="394">
        <f>Model!R69</f>
        <v>0</v>
      </c>
      <c r="S40" s="394">
        <f>Model!S69</f>
        <v>0</v>
      </c>
      <c r="T40" s="395">
        <f>Model!T69</f>
        <v>0</v>
      </c>
      <c r="U40" s="395">
        <f>IF(Case_Scenario="Bull",U41,IF(Case_Scenario="Base",U42,IF(Case_Scenario="bear",U43,"N/A")))</f>
        <v>-0.106</v>
      </c>
      <c r="V40" s="395">
        <f>IF(Case_Scenario="Bull",V41,IF(Case_Scenario="Base",V42,IF(Case_Scenario="bear",V43,"N/A")))</f>
        <v>-0.1</v>
      </c>
      <c r="W40" s="395">
        <f>IF(Case_Scenario="Bull",W41,IF(Case_Scenario="Base",W42,IF(Case_Scenario="bear",W43,"N/A")))</f>
        <v>-0.1</v>
      </c>
      <c r="X40" s="395">
        <f>IF(Case_Scenario="Bull",X41,IF(Case_Scenario="Base",X42,IF(Case_Scenario="bear",X43,"N/A")))</f>
        <v>-0.103</v>
      </c>
      <c r="Y40" s="395">
        <f>Model!Y69</f>
        <v>-0.02636995655727767</v>
      </c>
      <c r="Z40" s="395">
        <f>IF(Case_Scenario="Bull",Z41,IF(Case_Scenario="Base",Z42,IF(Case_Scenario="bear",Z43,"N/A")))</f>
        <v>-0.106</v>
      </c>
      <c r="AA40" s="395">
        <f>IF(Case_Scenario="Bull",AA41,IF(Case_Scenario="Base",AA42,IF(Case_Scenario="bear",AA43,"N/A")))</f>
        <v>-0.1</v>
      </c>
      <c r="AB40" s="395">
        <f>IF(Case_Scenario="Bull",AB41,IF(Case_Scenario="Base",AB42,IF(Case_Scenario="bear",AB43,"N/A")))</f>
        <v>-0.1</v>
      </c>
      <c r="AC40" s="395">
        <f>IF(Case_Scenario="Bull",AC41,IF(Case_Scenario="Base",AC42,IF(Case_Scenario="bear",AC43,"N/A")))</f>
        <v>-0.103</v>
      </c>
      <c r="AD40" s="395">
        <f>Model!AD69</f>
        <v>-0.10220071859299713</v>
      </c>
      <c r="AE40" s="395">
        <f>IF(Case_Scenario="Bull",AE41,IF(Case_Scenario="Base",AE42,IF(Case_Scenario="bear",AE43,"N/A")))</f>
        <v>-0.1</v>
      </c>
      <c r="AF40" s="395">
        <f>IF(Case_Scenario="Bull",AF41,IF(Case_Scenario="Base",AF42,IF(Case_Scenario="bear",AF43,"N/A")))</f>
        <v>-0.1</v>
      </c>
      <c r="AG40" s="395">
        <f>IF(Case_Scenario="Bull",AG41,IF(Case_Scenario="Base",AG42,IF(Case_Scenario="bear",AG43,"N/A")))</f>
        <v>-0.1</v>
      </c>
      <c r="AH40" s="8"/>
      <c r="AI40" s="8"/>
    </row>
    <row r="41" ht="12.75" customHeight="1" spans="1:35" x14ac:dyDescent="0.25">
      <c r="A41" s="8"/>
      <c r="B41" s="8"/>
      <c r="C41" s="130" t="s">
        <v>249</v>
      </c>
      <c r="D41" s="8"/>
      <c r="E41" s="8"/>
      <c r="F41" s="394"/>
      <c r="G41" s="394"/>
      <c r="H41" s="394"/>
      <c r="I41" s="394"/>
      <c r="J41" s="395"/>
      <c r="K41" s="394"/>
      <c r="L41" s="394"/>
      <c r="M41" s="394"/>
      <c r="N41" s="394"/>
      <c r="O41" s="395"/>
      <c r="P41" s="394"/>
      <c r="Q41" s="394"/>
      <c r="R41" s="394"/>
      <c r="S41" s="394"/>
      <c r="T41" s="395"/>
      <c r="U41" s="314">
        <f>U42+0.2%</f>
        <v>-0.104</v>
      </c>
      <c r="V41" s="314">
        <f>V42+0.2%</f>
        <v>-0.098</v>
      </c>
      <c r="W41" s="314">
        <f>W42+0.2%</f>
        <v>-0.098</v>
      </c>
      <c r="X41" s="314">
        <f>X42+0.2%</f>
        <v>-0.10099999999999999</v>
      </c>
      <c r="Y41" s="314"/>
      <c r="Z41" s="314">
        <f>Z42+0.2%</f>
        <v>-0.104</v>
      </c>
      <c r="AA41" s="314">
        <f>AA42+0.2%</f>
        <v>-0.098</v>
      </c>
      <c r="AB41" s="314">
        <f>AB42+0.2%</f>
        <v>-0.098</v>
      </c>
      <c r="AC41" s="314">
        <f>AC42+0.2%</f>
        <v>-0.10099999999999999</v>
      </c>
      <c r="AE41" s="314">
        <f>AE42+0.2%</f>
        <v>-0.098</v>
      </c>
      <c r="AF41" s="314">
        <f>AF42+0.2%</f>
        <v>-0.098</v>
      </c>
      <c r="AG41" s="314">
        <f>AG42+0.2%</f>
        <v>-0.098</v>
      </c>
      <c r="AH41" s="8"/>
      <c r="AI41" s="8"/>
    </row>
    <row r="42" ht="12.75" customHeight="1" spans="1:35" x14ac:dyDescent="0.25">
      <c r="A42" s="8"/>
      <c r="B42" s="8"/>
      <c r="C42" s="130" t="s">
        <v>250</v>
      </c>
      <c r="D42" s="8"/>
      <c r="E42" s="8"/>
      <c r="F42" s="394"/>
      <c r="G42" s="394"/>
      <c r="H42" s="394"/>
      <c r="I42" s="394"/>
      <c r="J42" s="395"/>
      <c r="K42" s="394"/>
      <c r="L42" s="394"/>
      <c r="M42" s="394"/>
      <c r="N42" s="394"/>
      <c r="O42" s="395"/>
      <c r="P42" s="394"/>
      <c r="Q42" s="394"/>
      <c r="R42" s="394"/>
      <c r="S42" s="394"/>
      <c r="T42" s="395"/>
      <c r="U42" s="314">
        <v>-0.106</v>
      </c>
      <c r="V42" s="314">
        <v>-0.1</v>
      </c>
      <c r="W42" s="314">
        <v>-0.1</v>
      </c>
      <c r="X42" s="314">
        <v>-0.103</v>
      </c>
      <c r="Y42" s="395"/>
      <c r="Z42" s="314">
        <v>-0.106</v>
      </c>
      <c r="AA42" s="314">
        <v>-0.1</v>
      </c>
      <c r="AB42" s="314">
        <v>-0.1</v>
      </c>
      <c r="AC42" s="314">
        <v>-0.103</v>
      </c>
      <c r="AE42" s="314">
        <v>-0.1</v>
      </c>
      <c r="AF42" s="314">
        <v>-0.1</v>
      </c>
      <c r="AG42" s="314">
        <v>-0.1</v>
      </c>
      <c r="AH42" s="8"/>
      <c r="AI42" s="8"/>
    </row>
    <row r="43" ht="12.75" customHeight="1" spans="1:35" x14ac:dyDescent="0.25">
      <c r="A43" s="257" t="s">
        <v>3</v>
      </c>
      <c r="B43" s="8"/>
      <c r="C43" s="130" t="s">
        <v>251</v>
      </c>
      <c r="D43" s="8"/>
      <c r="E43" s="8"/>
      <c r="F43" s="394"/>
      <c r="G43" s="394"/>
      <c r="H43" s="394"/>
      <c r="I43" s="394"/>
      <c r="J43" s="395"/>
      <c r="K43" s="394"/>
      <c r="L43" s="394"/>
      <c r="M43" s="394"/>
      <c r="N43" s="394"/>
      <c r="O43" s="395"/>
      <c r="P43" s="394"/>
      <c r="Q43" s="394"/>
      <c r="R43" s="394"/>
      <c r="S43" s="394"/>
      <c r="T43" s="395"/>
      <c r="U43" s="314">
        <f>U42-0.001</f>
        <v>-0.107</v>
      </c>
      <c r="V43" s="314">
        <f>V42-0.001</f>
        <v>-0.101</v>
      </c>
      <c r="W43" s="314">
        <f>W42-0.001</f>
        <v>-0.101</v>
      </c>
      <c r="X43" s="314">
        <f>X42-0.001</f>
        <v>-0.104</v>
      </c>
      <c r="Y43" s="314"/>
      <c r="Z43" s="314">
        <f>Z42-0.001</f>
        <v>-0.107</v>
      </c>
      <c r="AA43" s="314">
        <f>AA42-0.001</f>
        <v>-0.101</v>
      </c>
      <c r="AB43" s="314">
        <f>AB42-0.001</f>
        <v>-0.101</v>
      </c>
      <c r="AC43" s="314">
        <f>AC42-0.001</f>
        <v>-0.104</v>
      </c>
      <c r="AE43" s="314">
        <f>AE42-0.001</f>
        <v>-0.101</v>
      </c>
      <c r="AF43" s="314">
        <f>AF42-0.001</f>
        <v>-0.101</v>
      </c>
      <c r="AG43" s="314">
        <f>AG42-0.001</f>
        <v>-0.101</v>
      </c>
      <c r="AH43" s="257" t="s">
        <v>3</v>
      </c>
      <c r="AI43" s="257"/>
    </row>
    <row r="44" ht="12.75" customHeight="1" spans="1:35" x14ac:dyDescent="0.25">
      <c r="A44" s="257"/>
      <c r="B44" s="8"/>
      <c r="C44" s="8"/>
      <c r="D44" s="8"/>
      <c r="E44" s="8"/>
      <c r="F44" s="394"/>
      <c r="G44" s="394"/>
      <c r="H44" s="394"/>
      <c r="I44" s="394"/>
      <c r="J44" s="395"/>
      <c r="K44" s="394"/>
      <c r="L44" s="394"/>
      <c r="M44" s="394"/>
      <c r="N44" s="394"/>
      <c r="O44" s="395"/>
      <c r="P44" s="394"/>
      <c r="Q44" s="394"/>
      <c r="R44" s="394"/>
      <c r="S44" s="394"/>
      <c r="T44" s="395"/>
      <c r="U44" s="395"/>
      <c r="V44" s="395"/>
      <c r="W44" s="395"/>
      <c r="X44" s="395"/>
      <c r="Y44" s="395"/>
      <c r="Z44" s="395"/>
      <c r="AA44" s="395"/>
      <c r="AB44" s="395"/>
      <c r="AC44" s="395"/>
      <c r="AD44" s="395"/>
      <c r="AE44" s="160"/>
      <c r="AF44" s="160"/>
      <c r="AG44" s="160"/>
      <c r="AH44" s="8"/>
      <c r="AI44" s="8"/>
    </row>
    <row r="45" ht="12.75" customHeight="1" spans="1:35" x14ac:dyDescent="0.25">
      <c r="A45" s="8"/>
      <c r="B45" s="8" t="s">
        <v>3</v>
      </c>
      <c r="C45" s="8" t="str">
        <f>Model!C70</f>
        <v>R&amp;D as a % of Revenue</v>
      </c>
      <c r="D45" s="8"/>
      <c r="E45" s="8"/>
      <c r="F45" s="394">
        <f>Model!F70</f>
        <v>0</v>
      </c>
      <c r="G45" s="394">
        <f>Model!G70</f>
        <v>0</v>
      </c>
      <c r="H45" s="394">
        <f>Model!H70</f>
        <v>0</v>
      </c>
      <c r="I45" s="394">
        <f>Model!I70</f>
        <v>0</v>
      </c>
      <c r="J45" s="395">
        <f>Model!J70</f>
        <v>0</v>
      </c>
      <c r="K45" s="394">
        <f>Model!K70</f>
        <v>0</v>
      </c>
      <c r="L45" s="394">
        <f>Model!L70</f>
        <v>0</v>
      </c>
      <c r="M45" s="394">
        <f>Model!M70</f>
        <v>0</v>
      </c>
      <c r="N45" s="394">
        <f>Model!N70</f>
        <v>0</v>
      </c>
      <c r="O45" s="395">
        <f>Model!O70</f>
        <v>0</v>
      </c>
      <c r="P45" s="394">
        <f>Model!P70</f>
        <v>0</v>
      </c>
      <c r="Q45" s="394">
        <f>Model!Q70</f>
        <v>0</v>
      </c>
      <c r="R45" s="394">
        <f>Model!R70</f>
        <v>0</v>
      </c>
      <c r="S45" s="394">
        <f>Model!S70</f>
        <v>0</v>
      </c>
      <c r="T45" s="395">
        <f>Model!T70</f>
        <v>0</v>
      </c>
      <c r="U45" s="395">
        <f>IF(Case_Scenario="Bull",U46,IF(Case_Scenario="Base",U47,IF(Case_Scenario="bear",U48,"N/A")))</f>
        <v>0</v>
      </c>
      <c r="V45" s="395">
        <f>IF(Case_Scenario="Bull",V46,IF(Case_Scenario="Base",V47,IF(Case_Scenario="bear",V48,"N/A")))</f>
        <v>0</v>
      </c>
      <c r="W45" s="395">
        <f>IF(Case_Scenario="Bull",W46,IF(Case_Scenario="Base",W47,IF(Case_Scenario="bear",W48,"N/A")))</f>
        <v>0</v>
      </c>
      <c r="X45" s="395">
        <f>IF(Case_Scenario="Bull",X46,IF(Case_Scenario="Base",X47,IF(Case_Scenario="bear",X48,"N/A")))</f>
        <v>0</v>
      </c>
      <c r="Y45" s="395">
        <f>Model!Y70</f>
        <v>0</v>
      </c>
      <c r="Z45" s="395">
        <f>IF(Case_Scenario="Bull",Z46,IF(Case_Scenario="Base",Z47,IF(Case_Scenario="bear",Z48,"N/A")))</f>
        <v>0</v>
      </c>
      <c r="AA45" s="395">
        <f>IF(Case_Scenario="Bull",AA46,IF(Case_Scenario="Base",AA47,IF(Case_Scenario="bear",AA48,"N/A")))</f>
        <v>0</v>
      </c>
      <c r="AB45" s="395">
        <f>IF(Case_Scenario="Bull",AB46,IF(Case_Scenario="Base",AB47,IF(Case_Scenario="bear",AB48,"N/A")))</f>
        <v>0</v>
      </c>
      <c r="AC45" s="395">
        <f>IF(Case_Scenario="Bull",AC46,IF(Case_Scenario="Base",AC47,IF(Case_Scenario="bear",AC48,"N/A")))</f>
        <v>0</v>
      </c>
      <c r="AD45" s="395">
        <f>Model!AD70</f>
        <v>0</v>
      </c>
      <c r="AE45" s="395">
        <f>IF(Case_Scenario="Bull",AE46,IF(Case_Scenario="Base",AE47,IF(Case_Scenario="bear",AE48,"N/A")))</f>
        <v>0</v>
      </c>
      <c r="AF45" s="395">
        <f>IF(Case_Scenario="Bull",AF46,IF(Case_Scenario="Base",AF47,IF(Case_Scenario="bear",AF48,"N/A")))</f>
        <v>0</v>
      </c>
      <c r="AG45" s="395">
        <f>IF(Case_Scenario="Bull",AG46,IF(Case_Scenario="Base",AG47,IF(Case_Scenario="bear",AG48,"N/A")))</f>
        <v>0</v>
      </c>
      <c r="AH45" s="8"/>
      <c r="AI45" s="8"/>
    </row>
    <row r="46" ht="12.75" customHeight="1" spans="1:35" x14ac:dyDescent="0.25">
      <c r="A46" s="8"/>
      <c r="B46" s="8"/>
      <c r="C46" s="130" t="s">
        <v>249</v>
      </c>
      <c r="D46" s="8"/>
      <c r="E46" s="8"/>
      <c r="F46" s="394"/>
      <c r="G46" s="394"/>
      <c r="H46" s="394"/>
      <c r="I46" s="394"/>
      <c r="J46" s="395"/>
      <c r="K46" s="394"/>
      <c r="L46" s="394"/>
      <c r="M46" s="394"/>
      <c r="N46" s="394"/>
      <c r="O46" s="395"/>
      <c r="P46" s="394"/>
      <c r="Q46" s="394"/>
      <c r="R46" s="394"/>
      <c r="S46" s="394"/>
      <c r="T46" s="395"/>
      <c r="U46" s="314">
        <v>0</v>
      </c>
      <c r="V46" s="314">
        <v>0</v>
      </c>
      <c r="W46" s="314">
        <v>0</v>
      </c>
      <c r="X46" s="314">
        <v>0</v>
      </c>
      <c r="Z46" s="314">
        <v>0</v>
      </c>
      <c r="AA46" s="314">
        <v>0</v>
      </c>
      <c r="AB46" s="314">
        <v>0</v>
      </c>
      <c r="AC46" s="314">
        <v>0</v>
      </c>
      <c r="AE46" s="314">
        <v>0</v>
      </c>
      <c r="AF46" s="314">
        <v>0</v>
      </c>
      <c r="AG46" s="314">
        <v>0</v>
      </c>
      <c r="AH46" s="8"/>
      <c r="AI46" s="8"/>
    </row>
    <row r="47" ht="12.75" customHeight="1" spans="1:35" x14ac:dyDescent="0.25">
      <c r="A47" s="8"/>
      <c r="B47" s="8"/>
      <c r="C47" s="130" t="s">
        <v>250</v>
      </c>
      <c r="D47" s="8"/>
      <c r="E47" s="8"/>
      <c r="F47" s="394"/>
      <c r="G47" s="394"/>
      <c r="H47" s="394"/>
      <c r="I47" s="394"/>
      <c r="J47" s="395"/>
      <c r="K47" s="394"/>
      <c r="L47" s="394"/>
      <c r="M47" s="394"/>
      <c r="N47" s="394"/>
      <c r="O47" s="395"/>
      <c r="P47" s="394"/>
      <c r="Q47" s="394"/>
      <c r="R47" s="394"/>
      <c r="S47" s="394"/>
      <c r="T47" s="395"/>
      <c r="U47" s="314">
        <v>0</v>
      </c>
      <c r="V47" s="314">
        <v>0</v>
      </c>
      <c r="W47" s="314">
        <v>0</v>
      </c>
      <c r="X47" s="314">
        <v>0</v>
      </c>
      <c r="Z47" s="314">
        <v>0</v>
      </c>
      <c r="AA47" s="314">
        <v>0</v>
      </c>
      <c r="AB47" s="314">
        <v>0</v>
      </c>
      <c r="AC47" s="314">
        <v>0</v>
      </c>
      <c r="AE47" s="314">
        <v>0</v>
      </c>
      <c r="AF47" s="314">
        <v>0</v>
      </c>
      <c r="AG47" s="314">
        <v>0</v>
      </c>
      <c r="AH47" s="8"/>
      <c r="AI47" s="8"/>
    </row>
    <row r="48" ht="12.75" customHeight="1" spans="1:35" x14ac:dyDescent="0.25">
      <c r="A48" s="8"/>
      <c r="B48" s="8"/>
      <c r="C48" s="130" t="s">
        <v>251</v>
      </c>
      <c r="D48" s="8"/>
      <c r="E48" s="8"/>
      <c r="F48" s="394"/>
      <c r="G48" s="394"/>
      <c r="H48" s="394"/>
      <c r="I48" s="394"/>
      <c r="J48" s="395"/>
      <c r="K48" s="394"/>
      <c r="L48" s="394"/>
      <c r="M48" s="394"/>
      <c r="N48" s="394"/>
      <c r="O48" s="395"/>
      <c r="P48" s="394"/>
      <c r="Q48" s="394"/>
      <c r="R48" s="394"/>
      <c r="S48" s="394"/>
      <c r="T48" s="395"/>
      <c r="U48" s="314">
        <v>0</v>
      </c>
      <c r="V48" s="314">
        <v>0</v>
      </c>
      <c r="W48" s="314">
        <v>0</v>
      </c>
      <c r="X48" s="314">
        <v>0</v>
      </c>
      <c r="Z48" s="314">
        <v>0</v>
      </c>
      <c r="AA48" s="314">
        <v>0</v>
      </c>
      <c r="AB48" s="314">
        <v>0</v>
      </c>
      <c r="AC48" s="314">
        <v>0</v>
      </c>
      <c r="AE48" s="314">
        <v>0</v>
      </c>
      <c r="AF48" s="314">
        <v>0</v>
      </c>
      <c r="AG48" s="314">
        <v>0</v>
      </c>
      <c r="AH48" s="8"/>
      <c r="AI48" s="8"/>
    </row>
    <row r="49" ht="12.75" customHeight="1" spans="1:35" x14ac:dyDescent="0.25">
      <c r="A49" s="8"/>
      <c r="B49" s="8"/>
      <c r="C49" s="8"/>
      <c r="D49" s="8"/>
      <c r="E49" s="8"/>
      <c r="F49" s="394"/>
      <c r="G49" s="394"/>
      <c r="H49" s="394"/>
      <c r="I49" s="394"/>
      <c r="J49" s="395"/>
      <c r="K49" s="394"/>
      <c r="L49" s="394"/>
      <c r="M49" s="394"/>
      <c r="N49" s="394"/>
      <c r="O49" s="395"/>
      <c r="P49" s="394"/>
      <c r="Q49" s="394"/>
      <c r="R49" s="394"/>
      <c r="S49" s="394"/>
      <c r="T49" s="395"/>
      <c r="U49" s="395"/>
      <c r="V49" s="395"/>
      <c r="W49" s="395"/>
      <c r="X49" s="395"/>
      <c r="Y49" s="395"/>
      <c r="Z49" s="395"/>
      <c r="AA49" s="395"/>
      <c r="AB49" s="395"/>
      <c r="AC49" s="395"/>
      <c r="AD49" s="395"/>
      <c r="AE49" s="160"/>
      <c r="AF49" s="160"/>
      <c r="AG49" s="160"/>
      <c r="AH49" s="8"/>
      <c r="AI49" s="8"/>
    </row>
    <row r="50" ht="12.75" customHeight="1" spans="1:35" x14ac:dyDescent="0.25">
      <c r="A50" s="8"/>
      <c r="B50" s="8" t="s">
        <v>3</v>
      </c>
      <c r="C50" s="8" t="str">
        <f>Model!C71</f>
        <v>Other Operating Income as a % of Revenue</v>
      </c>
      <c r="D50" s="8"/>
      <c r="E50" s="8"/>
      <c r="F50" s="394">
        <f>Model!F71</f>
        <v>0</v>
      </c>
      <c r="G50" s="394">
        <f>Model!G71</f>
        <v>0</v>
      </c>
      <c r="H50" s="394">
        <f>Model!H71</f>
        <v>0</v>
      </c>
      <c r="I50" s="394">
        <f>Model!I71</f>
        <v>0</v>
      </c>
      <c r="J50" s="395">
        <f>Model!J71</f>
        <v>0</v>
      </c>
      <c r="K50" s="394">
        <f>Model!K71</f>
        <v>0</v>
      </c>
      <c r="L50" s="394">
        <f>Model!L71</f>
        <v>0</v>
      </c>
      <c r="M50" s="394">
        <f>Model!M71</f>
        <v>0</v>
      </c>
      <c r="N50" s="394">
        <f>Model!N71</f>
        <v>0</v>
      </c>
      <c r="O50" s="395">
        <f>Model!O71</f>
        <v>0</v>
      </c>
      <c r="P50" s="394">
        <f>Model!P71</f>
        <v>0</v>
      </c>
      <c r="Q50" s="394">
        <f>Model!Q71</f>
        <v>0</v>
      </c>
      <c r="R50" s="394">
        <f>Model!R71</f>
        <v>0</v>
      </c>
      <c r="S50" s="394">
        <f>Model!S71</f>
        <v>0</v>
      </c>
      <c r="T50" s="395">
        <f>Model!T71</f>
        <v>0</v>
      </c>
      <c r="U50" s="395">
        <f>IF(Case_Scenario="Bull",U51,IF(Case_Scenario="Base",U52,IF(Case_Scenario="bear",U53,"N/A")))</f>
        <v>-0.007</v>
      </c>
      <c r="V50" s="395">
        <f>IF(Case_Scenario="Bull",V51,IF(Case_Scenario="Base",V52,IF(Case_Scenario="bear",V53,"N/A")))</f>
        <v>-0.007</v>
      </c>
      <c r="W50" s="395">
        <f>IF(Case_Scenario="Bull",W51,IF(Case_Scenario="Base",W52,IF(Case_Scenario="bear",W53,"N/A")))</f>
        <v>-0.007</v>
      </c>
      <c r="X50" s="395">
        <f>IF(Case_Scenario="Bull",X51,IF(Case_Scenario="Base",X52,IF(Case_Scenario="bear",X53,"N/A")))</f>
        <v>-0.008</v>
      </c>
      <c r="Y50" s="395">
        <f>Model!Y71</f>
        <v>-0.0020481519656138</v>
      </c>
      <c r="Z50" s="395">
        <f>IF(Case_Scenario="Bull",Z51,IF(Case_Scenario="Base",Z52,IF(Case_Scenario="bear",Z53,"N/A")))</f>
        <v>-0.007</v>
      </c>
      <c r="AA50" s="395">
        <f>IF(Case_Scenario="Bull",AA51,IF(Case_Scenario="Base",AA52,IF(Case_Scenario="bear",AA53,"N/A")))</f>
        <v>-0.007</v>
      </c>
      <c r="AB50" s="395">
        <f>IF(Case_Scenario="Bull",AB51,IF(Case_Scenario="Base",AB52,IF(Case_Scenario="bear",AB53,"N/A")))</f>
        <v>-0.007</v>
      </c>
      <c r="AC50" s="395">
        <f>IF(Case_Scenario="Bull",AC51,IF(Case_Scenario="Base",AC52,IF(Case_Scenario="bear",AC53,"N/A")))</f>
        <v>-0.007</v>
      </c>
      <c r="AD50" s="395">
        <f>Model!AD71</f>
        <v>-0.007000000000000002</v>
      </c>
      <c r="AE50" s="395">
        <f>IF(Case_Scenario="Bull",AE51,IF(Case_Scenario="Base",AE52,IF(Case_Scenario="bear",AE53,"N/A")))</f>
        <v>-0.007</v>
      </c>
      <c r="AF50" s="395">
        <f>IF(Case_Scenario="Bull",AF51,IF(Case_Scenario="Base",AF52,IF(Case_Scenario="bear",AF53,"N/A")))</f>
        <v>-0.006</v>
      </c>
      <c r="AG50" s="395">
        <f>IF(Case_Scenario="Bull",AG51,IF(Case_Scenario="Base",AG52,IF(Case_Scenario="bear",AG53,"N/A")))</f>
        <v>-0.005</v>
      </c>
      <c r="AH50" s="8"/>
      <c r="AI50" s="8"/>
    </row>
    <row r="51" ht="12.75" customHeight="1" spans="1:35" x14ac:dyDescent="0.25">
      <c r="A51" s="8"/>
      <c r="B51" s="8"/>
      <c r="C51" s="130" t="s">
        <v>249</v>
      </c>
      <c r="D51" s="8"/>
      <c r="E51" s="8"/>
      <c r="F51" s="394"/>
      <c r="G51" s="394"/>
      <c r="H51" s="394"/>
      <c r="I51" s="394"/>
      <c r="J51" s="395"/>
      <c r="K51" s="394"/>
      <c r="L51" s="394"/>
      <c r="M51" s="394"/>
      <c r="N51" s="394"/>
      <c r="O51" s="395"/>
      <c r="P51" s="394"/>
      <c r="Q51" s="394"/>
      <c r="R51" s="394"/>
      <c r="S51" s="394"/>
      <c r="T51" s="395"/>
      <c r="U51" s="314">
        <v>-0.003</v>
      </c>
      <c r="V51" s="314">
        <v>-0.003</v>
      </c>
      <c r="W51" s="314">
        <v>-0.003</v>
      </c>
      <c r="X51" s="314">
        <v>0</v>
      </c>
      <c r="Y51" s="395"/>
      <c r="Z51" s="314">
        <v>-0.003</v>
      </c>
      <c r="AA51" s="314">
        <v>-0.003</v>
      </c>
      <c r="AB51" s="314">
        <v>-0.003</v>
      </c>
      <c r="AC51" s="314">
        <v>-0.003</v>
      </c>
      <c r="AD51" s="395"/>
      <c r="AE51" s="314">
        <v>-0.003</v>
      </c>
      <c r="AF51" s="314">
        <v>-0.003</v>
      </c>
      <c r="AG51" s="314">
        <v>-0.003</v>
      </c>
      <c r="AH51" s="8"/>
      <c r="AI51" s="8"/>
    </row>
    <row r="52" ht="12.75" customHeight="1" spans="1:35" x14ac:dyDescent="0.25">
      <c r="A52" s="8"/>
      <c r="B52" s="8"/>
      <c r="C52" s="130" t="s">
        <v>250</v>
      </c>
      <c r="D52" s="8"/>
      <c r="E52" s="8"/>
      <c r="F52" s="394"/>
      <c r="G52" s="394"/>
      <c r="H52" s="394"/>
      <c r="I52" s="394"/>
      <c r="J52" s="395"/>
      <c r="K52" s="394"/>
      <c r="L52" s="394"/>
      <c r="M52" s="394"/>
      <c r="N52" s="394"/>
      <c r="O52" s="395"/>
      <c r="P52" s="394"/>
      <c r="Q52" s="394"/>
      <c r="R52" s="394"/>
      <c r="S52" s="394"/>
      <c r="T52" s="395"/>
      <c r="U52" s="314">
        <v>-0.007</v>
      </c>
      <c r="V52" s="314">
        <v>-0.007</v>
      </c>
      <c r="W52" s="314">
        <v>-0.007</v>
      </c>
      <c r="X52" s="314">
        <v>-0.008</v>
      </c>
      <c r="Y52" s="395"/>
      <c r="Z52" s="314">
        <v>-0.007</v>
      </c>
      <c r="AA52" s="314">
        <v>-0.007</v>
      </c>
      <c r="AB52" s="314">
        <v>-0.007</v>
      </c>
      <c r="AC52" s="314">
        <v>-0.007</v>
      </c>
      <c r="AD52" s="395"/>
      <c r="AE52" s="314">
        <v>-0.007</v>
      </c>
      <c r="AF52" s="314">
        <v>-0.006</v>
      </c>
      <c r="AG52" s="314">
        <v>-0.005</v>
      </c>
      <c r="AH52" s="8"/>
      <c r="AI52" s="8"/>
    </row>
    <row r="53" ht="12.75" customHeight="1" spans="1:35" x14ac:dyDescent="0.25">
      <c r="A53" s="8"/>
      <c r="B53" s="8"/>
      <c r="C53" s="130" t="s">
        <v>251</v>
      </c>
      <c r="D53" s="8"/>
      <c r="E53" s="8"/>
      <c r="F53" s="394"/>
      <c r="G53" s="394"/>
      <c r="H53" s="394"/>
      <c r="I53" s="394"/>
      <c r="J53" s="395"/>
      <c r="K53" s="394"/>
      <c r="L53" s="394"/>
      <c r="M53" s="394"/>
      <c r="N53" s="394"/>
      <c r="O53" s="395"/>
      <c r="P53" s="394"/>
      <c r="Q53" s="394"/>
      <c r="R53" s="394"/>
      <c r="S53" s="394"/>
      <c r="T53" s="395"/>
      <c r="U53" s="314">
        <v>-0.006</v>
      </c>
      <c r="V53" s="314">
        <v>-0.006</v>
      </c>
      <c r="W53" s="314">
        <v>-0.006</v>
      </c>
      <c r="X53" s="314">
        <v>-0.006</v>
      </c>
      <c r="Y53" s="395"/>
      <c r="Z53" s="314">
        <v>-0.006</v>
      </c>
      <c r="AA53" s="314">
        <v>-0.006</v>
      </c>
      <c r="AB53" s="314">
        <v>-0.006</v>
      </c>
      <c r="AC53" s="314">
        <v>-0.006</v>
      </c>
      <c r="AD53" s="395"/>
      <c r="AE53" s="314">
        <v>-0.006</v>
      </c>
      <c r="AF53" s="314">
        <v>-0.006</v>
      </c>
      <c r="AG53" s="314">
        <v>-0.006</v>
      </c>
      <c r="AH53" s="8"/>
      <c r="AI53" s="8"/>
    </row>
    <row r="54" ht="12.75" customHeight="1" spans="1:35" x14ac:dyDescent="0.25">
      <c r="A54" s="8"/>
      <c r="B54" s="8"/>
      <c r="C54" s="8"/>
      <c r="D54" s="8"/>
      <c r="E54" s="8"/>
      <c r="F54" s="394"/>
      <c r="G54" s="394"/>
      <c r="H54" s="394"/>
      <c r="I54" s="394"/>
      <c r="J54" s="395"/>
      <c r="K54" s="394"/>
      <c r="L54" s="394"/>
      <c r="M54" s="394"/>
      <c r="N54" s="394"/>
      <c r="O54" s="395"/>
      <c r="P54" s="394"/>
      <c r="Q54" s="394"/>
      <c r="R54" s="394"/>
      <c r="S54" s="394"/>
      <c r="T54" s="395"/>
      <c r="U54" s="395"/>
      <c r="V54" s="395"/>
      <c r="W54" s="395"/>
      <c r="X54" s="395"/>
      <c r="Y54" s="395"/>
      <c r="Z54" s="395"/>
      <c r="AA54" s="395"/>
      <c r="AB54" s="395"/>
      <c r="AC54" s="395"/>
      <c r="AD54" s="395"/>
      <c r="AE54" s="160"/>
      <c r="AF54" s="160"/>
      <c r="AG54" s="160"/>
      <c r="AH54" s="8"/>
      <c r="AI54" s="8"/>
    </row>
    <row r="55" ht="12.75" customHeight="1" spans="1:35" x14ac:dyDescent="0.25">
      <c r="A55" s="8"/>
      <c r="B55" s="8"/>
      <c r="C55" s="540" t="s">
        <v>483</v>
      </c>
      <c r="D55" s="541"/>
      <c r="E55" s="541"/>
      <c r="F55" s="542"/>
      <c r="G55" s="543"/>
      <c r="H55" s="543"/>
      <c r="I55" s="543"/>
      <c r="J55" s="543"/>
      <c r="K55" s="543"/>
      <c r="L55" s="543"/>
      <c r="M55" s="543"/>
      <c r="N55" s="543"/>
      <c r="O55" s="543"/>
      <c r="P55" s="543"/>
      <c r="Q55" s="543"/>
      <c r="R55" s="543"/>
      <c r="S55" s="543"/>
      <c r="T55" s="543"/>
      <c r="U55" s="543"/>
      <c r="V55" s="543"/>
      <c r="W55" s="543"/>
      <c r="X55" s="543"/>
      <c r="Y55" s="543"/>
      <c r="Z55" s="543"/>
      <c r="AA55" s="543"/>
      <c r="AB55" s="543"/>
      <c r="AC55" s="543"/>
      <c r="AD55" s="543"/>
      <c r="AE55" s="543"/>
      <c r="AF55" s="543"/>
      <c r="AG55" s="544"/>
      <c r="AH55" s="8"/>
      <c r="AI55" s="8"/>
    </row>
    <row r="56" ht="12.75" customHeight="1" spans="1:35" x14ac:dyDescent="0.25">
      <c r="A56" s="257" t="s">
        <v>3</v>
      </c>
      <c r="B56" s="8"/>
      <c r="C56" s="8"/>
      <c r="D56" s="8"/>
      <c r="E56" s="8"/>
      <c r="F56" s="394"/>
      <c r="G56" s="394"/>
      <c r="H56" s="394"/>
      <c r="I56" s="394"/>
      <c r="J56" s="395"/>
      <c r="K56" s="394"/>
      <c r="L56" s="394"/>
      <c r="M56" s="394"/>
      <c r="N56" s="394"/>
      <c r="O56" s="395"/>
      <c r="P56" s="394"/>
      <c r="Q56" s="394"/>
      <c r="R56" s="394"/>
      <c r="S56" s="394"/>
      <c r="T56" s="395"/>
      <c r="U56" s="395"/>
      <c r="V56" s="395"/>
      <c r="W56" s="395"/>
      <c r="X56" s="395"/>
      <c r="Y56" s="395"/>
      <c r="Z56" s="395"/>
      <c r="AA56" s="395"/>
      <c r="AB56" s="395"/>
      <c r="AC56" s="395"/>
      <c r="AD56" s="395"/>
      <c r="AE56" s="160"/>
      <c r="AF56" s="160"/>
      <c r="AG56" s="160"/>
      <c r="AH56" s="257" t="s">
        <v>3</v>
      </c>
      <c r="AI56" s="257"/>
    </row>
    <row r="57" ht="12.75" customHeight="1" spans="1:35" x14ac:dyDescent="0.25">
      <c r="A57" s="8"/>
      <c r="B57" s="8" t="s">
        <v>3</v>
      </c>
      <c r="C57" s="8" t="str">
        <f>Model!C72</f>
        <v>Other Non-Operating Income as a % of Revenue</v>
      </c>
      <c r="D57" s="8"/>
      <c r="E57" s="8"/>
      <c r="F57" s="394">
        <f>Model!F72</f>
        <v>0</v>
      </c>
      <c r="G57" s="394">
        <f>Model!G72</f>
        <v>0</v>
      </c>
      <c r="H57" s="394">
        <f>Model!H72</f>
        <v>0</v>
      </c>
      <c r="I57" s="394">
        <f>Model!I72</f>
        <v>0</v>
      </c>
      <c r="J57" s="395">
        <f>Model!J72</f>
        <v>0</v>
      </c>
      <c r="K57" s="394">
        <f>Model!K72</f>
        <v>0</v>
      </c>
      <c r="L57" s="394">
        <f>Model!L72</f>
        <v>0</v>
      </c>
      <c r="M57" s="394">
        <f>Model!M72</f>
        <v>0</v>
      </c>
      <c r="N57" s="394">
        <f>Model!N72</f>
        <v>0</v>
      </c>
      <c r="O57" s="395">
        <f>Model!O72</f>
        <v>0</v>
      </c>
      <c r="P57" s="394">
        <f>Model!P72</f>
        <v>0</v>
      </c>
      <c r="Q57" s="394">
        <f>Model!Q72</f>
        <v>0</v>
      </c>
      <c r="R57" s="394">
        <f>Model!R72</f>
        <v>0</v>
      </c>
      <c r="S57" s="394">
        <f>Model!S72</f>
        <v>0</v>
      </c>
      <c r="T57" s="395">
        <f>Model!T72</f>
        <v>0</v>
      </c>
      <c r="U57" s="395">
        <f>IF(Case_Scenario="Bull",U58,IF(Case_Scenario="Base",U59,IF(Case_Scenario="bear",U60,"N/A")))</f>
        <v>-0.011</v>
      </c>
      <c r="V57" s="395">
        <f>IF(Case_Scenario="Bull",V58,IF(Case_Scenario="Base",V59,IF(Case_Scenario="bear",V60,"N/A")))</f>
        <v>-0.011</v>
      </c>
      <c r="W57" s="395">
        <f>IF(Case_Scenario="Bull",W58,IF(Case_Scenario="Base",W59,IF(Case_Scenario="bear",W60,"N/A")))</f>
        <v>-0.011</v>
      </c>
      <c r="X57" s="395">
        <f>IF(Case_Scenario="Bull",X58,IF(Case_Scenario="Base",X59,IF(Case_Scenario="bear",X60,"N/A")))</f>
        <v>-0.012</v>
      </c>
      <c r="Y57" s="395">
        <f>Model!Y72</f>
        <v>-0.0030722279484206995</v>
      </c>
      <c r="Z57" s="395">
        <f>IF(Case_Scenario="Bull",Z58,IF(Case_Scenario="Base",Z59,IF(Case_Scenario="bear",Z60,"N/A")))</f>
        <v>-0.011</v>
      </c>
      <c r="AA57" s="395">
        <f>IF(Case_Scenario="Bull",AA58,IF(Case_Scenario="Base",AA59,IF(Case_Scenario="bear",AA60,"N/A")))</f>
        <v>-0.011</v>
      </c>
      <c r="AB57" s="395">
        <f>IF(Case_Scenario="Bull",AB58,IF(Case_Scenario="Base",AB59,IF(Case_Scenario="bear",AB60,"N/A")))</f>
        <v>-0.011</v>
      </c>
      <c r="AC57" s="395">
        <f>IF(Case_Scenario="Bull",AC58,IF(Case_Scenario="Base",AC59,IF(Case_Scenario="bear",AC60,"N/A")))</f>
        <v>-0.011</v>
      </c>
      <c r="AD57" s="395">
        <f>Model!AD72</f>
        <v>-0.011</v>
      </c>
      <c r="AE57" s="395">
        <f>IF(Case_Scenario="Bull",AE58,IF(Case_Scenario="Base",AE59,IF(Case_Scenario="bear",AE60,"N/A")))</f>
        <v>-0.011</v>
      </c>
      <c r="AF57" s="395">
        <f>IF(Case_Scenario="Bull",AF58,IF(Case_Scenario="Base",AF59,IF(Case_Scenario="bear",AF60,"N/A")))</f>
        <v>-0.012</v>
      </c>
      <c r="AG57" s="395">
        <f>IF(Case_Scenario="Bull",AG58,IF(Case_Scenario="Base",AG59,IF(Case_Scenario="bear",AG60,"N/A")))</f>
        <v>-0.012</v>
      </c>
      <c r="AH57" s="8"/>
      <c r="AI57" s="8"/>
    </row>
    <row r="58" ht="12.75" customHeight="1" spans="1:35" x14ac:dyDescent="0.25">
      <c r="A58" s="8"/>
      <c r="B58" s="8"/>
      <c r="C58" s="130" t="s">
        <v>249</v>
      </c>
      <c r="D58" s="8"/>
      <c r="E58" s="8"/>
      <c r="F58" s="394"/>
      <c r="G58" s="394"/>
      <c r="H58" s="394"/>
      <c r="I58" s="394"/>
      <c r="J58" s="395"/>
      <c r="K58" s="394"/>
      <c r="L58" s="394"/>
      <c r="M58" s="394"/>
      <c r="N58" s="394"/>
      <c r="O58" s="395"/>
      <c r="P58" s="394"/>
      <c r="Q58" s="394"/>
      <c r="R58" s="394"/>
      <c r="S58" s="394"/>
      <c r="T58" s="395"/>
      <c r="U58" s="314">
        <v>-0.009</v>
      </c>
      <c r="V58" s="314">
        <v>-0.009</v>
      </c>
      <c r="W58" s="314">
        <v>-0.009</v>
      </c>
      <c r="X58" s="314">
        <v>-0.01</v>
      </c>
      <c r="Z58" s="314">
        <v>-0.009</v>
      </c>
      <c r="AA58" s="314">
        <v>-0.009</v>
      </c>
      <c r="AB58" s="314">
        <v>-0.009</v>
      </c>
      <c r="AC58" s="314">
        <v>-0.009</v>
      </c>
      <c r="AE58" s="314">
        <v>-0.009</v>
      </c>
      <c r="AF58" s="314">
        <v>-0.009</v>
      </c>
      <c r="AG58" s="314">
        <v>-0.009</v>
      </c>
      <c r="AH58" s="8"/>
      <c r="AI58" s="8"/>
    </row>
    <row r="59" ht="12.75" customHeight="1" spans="1:35" x14ac:dyDescent="0.25">
      <c r="A59" s="8"/>
      <c r="B59" s="8"/>
      <c r="C59" s="130" t="s">
        <v>250</v>
      </c>
      <c r="D59" s="8"/>
      <c r="E59" s="8"/>
      <c r="F59" s="394"/>
      <c r="G59" s="394"/>
      <c r="H59" s="394"/>
      <c r="I59" s="394"/>
      <c r="J59" s="395"/>
      <c r="K59" s="394"/>
      <c r="L59" s="394"/>
      <c r="M59" s="394"/>
      <c r="N59" s="394"/>
      <c r="O59" s="395"/>
      <c r="P59" s="394"/>
      <c r="Q59" s="394"/>
      <c r="R59" s="394"/>
      <c r="S59" s="394"/>
      <c r="T59" s="395"/>
      <c r="U59" s="314">
        <v>-0.011</v>
      </c>
      <c r="V59" s="314">
        <v>-0.011</v>
      </c>
      <c r="W59" s="314">
        <v>-0.011</v>
      </c>
      <c r="X59" s="314">
        <v>-0.012</v>
      </c>
      <c r="Z59" s="314">
        <v>-0.011</v>
      </c>
      <c r="AA59" s="314">
        <v>-0.011</v>
      </c>
      <c r="AB59" s="314">
        <v>-0.011</v>
      </c>
      <c r="AC59" s="314">
        <v>-0.011</v>
      </c>
      <c r="AE59" s="314">
        <v>-0.011</v>
      </c>
      <c r="AF59" s="314">
        <v>-0.012</v>
      </c>
      <c r="AG59" s="314">
        <v>-0.012</v>
      </c>
      <c r="AH59" s="8"/>
      <c r="AI59" s="8"/>
    </row>
    <row r="60" ht="12.75" customHeight="1" spans="1:35" x14ac:dyDescent="0.25">
      <c r="A60" s="8"/>
      <c r="B60" s="8"/>
      <c r="C60" s="130" t="s">
        <v>251</v>
      </c>
      <c r="D60" s="8"/>
      <c r="E60" s="8"/>
      <c r="F60" s="394"/>
      <c r="G60" s="394"/>
      <c r="H60" s="394"/>
      <c r="I60" s="394"/>
      <c r="J60" s="395"/>
      <c r="K60" s="394"/>
      <c r="L60" s="394"/>
      <c r="M60" s="394"/>
      <c r="N60" s="394"/>
      <c r="O60" s="395"/>
      <c r="P60" s="394"/>
      <c r="Q60" s="394"/>
      <c r="R60" s="394"/>
      <c r="S60" s="394"/>
      <c r="T60" s="395"/>
      <c r="U60" s="314">
        <v>-0.013</v>
      </c>
      <c r="V60" s="314">
        <v>-0.013</v>
      </c>
      <c r="W60" s="314">
        <v>-0.013</v>
      </c>
      <c r="X60" s="314">
        <v>-0.014</v>
      </c>
      <c r="Z60" s="314">
        <v>-0.013</v>
      </c>
      <c r="AA60" s="314">
        <v>-0.013</v>
      </c>
      <c r="AB60" s="314">
        <v>-0.013</v>
      </c>
      <c r="AC60" s="314">
        <v>-0.013</v>
      </c>
      <c r="AE60" s="314">
        <v>-0.013</v>
      </c>
      <c r="AF60" s="314">
        <v>-0.013</v>
      </c>
      <c r="AG60" s="314">
        <v>-0.013</v>
      </c>
      <c r="AH60" s="8"/>
      <c r="AI60" s="8"/>
    </row>
    <row r="61" ht="12.75" customHeight="1" spans="1:35" x14ac:dyDescent="0.25">
      <c r="A61" s="8"/>
      <c r="B61" s="8"/>
      <c r="C61" s="130"/>
      <c r="D61" s="8"/>
      <c r="E61" s="8"/>
      <c r="F61" s="394"/>
      <c r="G61" s="394"/>
      <c r="H61" s="394"/>
      <c r="I61" s="394"/>
      <c r="J61" s="395"/>
      <c r="K61" s="394"/>
      <c r="L61" s="394"/>
      <c r="M61" s="394"/>
      <c r="N61" s="394"/>
      <c r="O61" s="395"/>
      <c r="P61" s="394"/>
      <c r="Q61" s="394"/>
      <c r="R61" s="394"/>
      <c r="S61" s="394"/>
      <c r="T61" s="395"/>
      <c r="U61" s="314"/>
      <c r="V61" s="314"/>
      <c r="W61" s="314"/>
      <c r="X61" s="314"/>
      <c r="Y61" s="395"/>
      <c r="Z61" s="314"/>
      <c r="AA61" s="314"/>
      <c r="AB61" s="314"/>
      <c r="AC61" s="314"/>
      <c r="AD61" s="395"/>
      <c r="AE61" s="314"/>
      <c r="AF61" s="314"/>
      <c r="AG61" s="314"/>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45">
        <v>0</v>
      </c>
      <c r="V62" s="545">
        <v>0</v>
      </c>
      <c r="W62" s="545">
        <v>0</v>
      </c>
      <c r="X62" s="545">
        <v>0</v>
      </c>
      <c r="Y62" s="321">
        <f>Model!Y40</f>
        <v>0</v>
      </c>
      <c r="Z62" s="545">
        <v>0</v>
      </c>
      <c r="AA62" s="545">
        <v>0</v>
      </c>
      <c r="AB62" s="545">
        <v>0</v>
      </c>
      <c r="AC62" s="545">
        <v>0</v>
      </c>
      <c r="AD62" s="321">
        <f>Model!AD40</f>
        <v>0</v>
      </c>
      <c r="AE62" s="545">
        <v>0</v>
      </c>
      <c r="AF62" s="545">
        <v>0</v>
      </c>
      <c r="AG62" s="545">
        <v>0</v>
      </c>
      <c r="AH62" s="8"/>
      <c r="AI62" s="8"/>
    </row>
    <row r="63" ht="12.75" customHeight="1" spans="1:35" x14ac:dyDescent="0.25">
      <c r="A63" s="8"/>
      <c r="B63" s="8"/>
      <c r="C63" s="8"/>
      <c r="D63" s="8"/>
      <c r="E63" s="8"/>
      <c r="F63" s="394"/>
      <c r="G63" s="394"/>
      <c r="H63" s="394"/>
      <c r="I63" s="394"/>
      <c r="J63" s="395"/>
      <c r="K63" s="394"/>
      <c r="L63" s="394"/>
      <c r="M63" s="394"/>
      <c r="N63" s="394"/>
      <c r="O63" s="395"/>
      <c r="P63" s="394"/>
      <c r="Q63" s="394"/>
      <c r="R63" s="394"/>
      <c r="S63" s="394"/>
      <c r="T63" s="395"/>
      <c r="U63" s="395"/>
      <c r="V63" s="395"/>
      <c r="W63" s="395"/>
      <c r="X63" s="395"/>
      <c r="Y63" s="395"/>
      <c r="Z63" s="395"/>
      <c r="AA63" s="395"/>
      <c r="AB63" s="395"/>
      <c r="AC63" s="395"/>
      <c r="AD63" s="395"/>
      <c r="AE63" s="160"/>
      <c r="AF63" s="160"/>
      <c r="AG63" s="160"/>
      <c r="AH63" s="8"/>
      <c r="AI63" s="8"/>
    </row>
    <row r="64" ht="12.75" customHeight="1" spans="1:35" x14ac:dyDescent="0.25">
      <c r="A64" s="8"/>
      <c r="B64" s="8" t="s">
        <v>3</v>
      </c>
      <c r="C64" s="8" t="str">
        <f>Model!C73</f>
        <v>Tax Rate</v>
      </c>
      <c r="D64" s="8"/>
      <c r="E64" s="8"/>
      <c r="F64" s="394">
        <f>Model!F73</f>
        <v>0</v>
      </c>
      <c r="G64" s="394">
        <f>Model!G73</f>
        <v>0</v>
      </c>
      <c r="H64" s="394">
        <f>Model!H73</f>
        <v>0</v>
      </c>
      <c r="I64" s="394">
        <f>Model!I73</f>
        <v>0</v>
      </c>
      <c r="J64" s="395">
        <f>Model!J73</f>
        <v>0</v>
      </c>
      <c r="K64" s="394">
        <f>Model!K73</f>
        <v>0</v>
      </c>
      <c r="L64" s="394">
        <f>Model!L73</f>
        <v>0</v>
      </c>
      <c r="M64" s="394">
        <f>Model!M73</f>
        <v>0</v>
      </c>
      <c r="N64" s="394">
        <f>Model!N73</f>
        <v>0</v>
      </c>
      <c r="O64" s="395">
        <f>Model!O73</f>
        <v>0</v>
      </c>
      <c r="P64" s="394">
        <f>Model!P73</f>
        <v>0</v>
      </c>
      <c r="Q64" s="394">
        <f>Model!Q73</f>
        <v>0</v>
      </c>
      <c r="R64" s="394">
        <f>Model!R73</f>
        <v>0</v>
      </c>
      <c r="S64" s="394">
        <f>Model!S73</f>
        <v>0</v>
      </c>
      <c r="T64" s="395">
        <f>Model!T73</f>
        <v>0</v>
      </c>
      <c r="U64" s="395">
        <f>IF(Case_Scenario="Bull",U65,IF(Case_Scenario="Base",U66,IF(Case_Scenario="bear",U67,"N/A")))</f>
        <v>0.204</v>
      </c>
      <c r="V64" s="395">
        <f>IF(Case_Scenario="Bull",V65,IF(Case_Scenario="Base",V66,IF(Case_Scenario="bear",V67,"N/A")))</f>
        <v>0.2042</v>
      </c>
      <c r="W64" s="395">
        <f>IF(Case_Scenario="Bull",W65,IF(Case_Scenario="Base",W66,IF(Case_Scenario="bear",W67,"N/A")))</f>
        <v>0.2042</v>
      </c>
      <c r="X64" s="395">
        <f>IF(Case_Scenario="Bull",X65,IF(Case_Scenario="Base",X66,IF(Case_Scenario="bear",X67,"N/A")))</f>
        <v>0.211</v>
      </c>
      <c r="Y64" s="395">
        <f>Model!Y73</f>
        <v>0.18430358140800268</v>
      </c>
      <c r="Z64" s="395">
        <f>IF(Case_Scenario="Bull",Z65,IF(Case_Scenario="Base",Z66,IF(Case_Scenario="bear",Z67,"N/A")))</f>
        <v>0.204</v>
      </c>
      <c r="AA64" s="395">
        <f>IF(Case_Scenario="Bull",AA65,IF(Case_Scenario="Base",AA66,IF(Case_Scenario="bear",AA67,"N/A")))</f>
        <v>0.2042</v>
      </c>
      <c r="AB64" s="395">
        <f>IF(Case_Scenario="Bull",AB65,IF(Case_Scenario="Base",AB66,IF(Case_Scenario="bear",AB67,"N/A")))</f>
        <v>0.2042</v>
      </c>
      <c r="AC64" s="395">
        <f>IF(Case_Scenario="Bull",AC65,IF(Case_Scenario="Base",AC66,IF(Case_Scenario="bear",AC67,"N/A")))</f>
        <v>0.2042</v>
      </c>
      <c r="AD64" s="395">
        <f>Model!AD73</f>
        <v>0.20415423276010963</v>
      </c>
      <c r="AE64" s="395">
        <f>IF(Case_Scenario="Bull",AE65,IF(Case_Scenario="Base",AE66,IF(Case_Scenario="bear",AE67,"N/A")))</f>
        <v>0.202</v>
      </c>
      <c r="AF64" s="395">
        <f>IF(Case_Scenario="Bull",AF65,IF(Case_Scenario="Base",AF66,IF(Case_Scenario="bear",AF67,"N/A")))</f>
        <v>0.202</v>
      </c>
      <c r="AG64" s="395">
        <f>IF(Case_Scenario="Bull",AG65,IF(Case_Scenario="Base",AG66,IF(Case_Scenario="bear",AG67,"N/A")))</f>
        <v>0.202</v>
      </c>
      <c r="AH64" s="8"/>
      <c r="AI64" s="8"/>
    </row>
    <row r="65" ht="12.75" customHeight="1" spans="1:35" x14ac:dyDescent="0.25">
      <c r="A65" s="257" t="s">
        <v>3</v>
      </c>
      <c r="B65" s="8"/>
      <c r="C65" s="130" t="s">
        <v>249</v>
      </c>
      <c r="D65" s="8"/>
      <c r="E65" s="8"/>
      <c r="F65" s="394"/>
      <c r="G65" s="394"/>
      <c r="H65" s="394"/>
      <c r="I65" s="394"/>
      <c r="J65" s="395"/>
      <c r="K65" s="394"/>
      <c r="L65" s="394"/>
      <c r="M65" s="394"/>
      <c r="N65" s="394"/>
      <c r="O65" s="395"/>
      <c r="P65" s="394"/>
      <c r="Q65" s="394"/>
      <c r="R65" s="394"/>
      <c r="S65" s="394"/>
      <c r="T65" s="395"/>
      <c r="U65" s="314">
        <f>U66-0.01</f>
        <v>0.19399999999999998</v>
      </c>
      <c r="V65" s="314">
        <f>V66-0.01</f>
        <v>0.19419999999999998</v>
      </c>
      <c r="W65" s="314">
        <f>W66-0.01</f>
        <v>0.19419999999999998</v>
      </c>
      <c r="X65" s="314">
        <f>X66-0.01</f>
        <v>0.20099999999999998</v>
      </c>
      <c r="Z65" s="314">
        <f>Z66-0.01</f>
        <v>0.19399999999999998</v>
      </c>
      <c r="AA65" s="314">
        <f>AA66-0.01</f>
        <v>0.19419999999999998</v>
      </c>
      <c r="AB65" s="314">
        <f>AB66-0.01</f>
        <v>0.19419999999999998</v>
      </c>
      <c r="AC65" s="314">
        <f>AC66-0.01</f>
        <v>0.19419999999999998</v>
      </c>
      <c r="AE65" s="314">
        <f>AE66-0.01</f>
        <v>0.192</v>
      </c>
      <c r="AF65" s="314">
        <f>AF66-0.01</f>
        <v>0.192</v>
      </c>
      <c r="AG65" s="314">
        <f>AG66-0.01</f>
        <v>0.192</v>
      </c>
      <c r="AH65" s="257" t="s">
        <v>3</v>
      </c>
      <c r="AI65" s="257"/>
    </row>
    <row r="66" ht="12.75" customHeight="1" spans="1:35" x14ac:dyDescent="0.25">
      <c r="A66" s="8"/>
      <c r="B66" s="8"/>
      <c r="C66" s="130" t="s">
        <v>250</v>
      </c>
      <c r="D66" s="8"/>
      <c r="E66" s="8"/>
      <c r="F66" s="394"/>
      <c r="G66" s="394"/>
      <c r="H66" s="394"/>
      <c r="I66" s="394"/>
      <c r="J66" s="395"/>
      <c r="K66" s="394"/>
      <c r="L66" s="394"/>
      <c r="M66" s="394"/>
      <c r="N66" s="394"/>
      <c r="O66" s="395"/>
      <c r="P66" s="394"/>
      <c r="Q66" s="394"/>
      <c r="R66" s="394"/>
      <c r="S66" s="394"/>
      <c r="T66" s="395"/>
      <c r="U66" s="314">
        <v>0.204</v>
      </c>
      <c r="V66" s="314">
        <v>0.2042</v>
      </c>
      <c r="W66" s="314">
        <v>0.2042</v>
      </c>
      <c r="X66" s="314">
        <v>0.211</v>
      </c>
      <c r="Z66" s="314">
        <v>0.204</v>
      </c>
      <c r="AA66" s="314">
        <v>0.2042</v>
      </c>
      <c r="AB66" s="314">
        <v>0.2042</v>
      </c>
      <c r="AC66" s="314">
        <v>0.2042</v>
      </c>
      <c r="AE66" s="314">
        <v>0.202</v>
      </c>
      <c r="AF66" s="314">
        <v>0.202</v>
      </c>
      <c r="AG66" s="314">
        <v>0.202</v>
      </c>
      <c r="AH66" s="314">
        <v>0.178</v>
      </c>
      <c r="AI66" s="314">
        <v>0.178</v>
      </c>
    </row>
    <row r="67" ht="12.75" customHeight="1" spans="1:35" x14ac:dyDescent="0.25">
      <c r="A67" s="8"/>
      <c r="B67" s="8"/>
      <c r="C67" s="130" t="s">
        <v>251</v>
      </c>
      <c r="D67" s="8"/>
      <c r="E67" s="8"/>
      <c r="F67" s="394"/>
      <c r="G67" s="394"/>
      <c r="H67" s="394"/>
      <c r="I67" s="394"/>
      <c r="J67" s="395"/>
      <c r="K67" s="394"/>
      <c r="L67" s="394"/>
      <c r="M67" s="394"/>
      <c r="N67" s="394"/>
      <c r="O67" s="395"/>
      <c r="P67" s="394"/>
      <c r="Q67" s="394"/>
      <c r="R67" s="394"/>
      <c r="S67" s="394"/>
      <c r="T67" s="395"/>
      <c r="U67" s="314">
        <f>U66+0.015</f>
        <v>0.21899999999999997</v>
      </c>
      <c r="V67" s="314">
        <f>V66+0.015</f>
        <v>0.2192</v>
      </c>
      <c r="W67" s="314">
        <f>W66+0.015</f>
        <v>0.2192</v>
      </c>
      <c r="X67" s="314">
        <f>X66+0.015</f>
        <v>0.22599999999999998</v>
      </c>
      <c r="Z67" s="314">
        <f>Z66+0.015</f>
        <v>0.21899999999999997</v>
      </c>
      <c r="AA67" s="314">
        <f>AA66+0.015</f>
        <v>0.2192</v>
      </c>
      <c r="AB67" s="314">
        <f>AB66+0.015</f>
        <v>0.2192</v>
      </c>
      <c r="AC67" s="314">
        <f>AC66+0.015</f>
        <v>0.2192</v>
      </c>
      <c r="AE67" s="314">
        <f>AE66+0.015</f>
        <v>0.21700000000000003</v>
      </c>
      <c r="AF67" s="314">
        <f>AF66+0.015</f>
        <v>0.21700000000000003</v>
      </c>
      <c r="AG67" s="314">
        <f>AG66+0.015</f>
        <v>0.21700000000000003</v>
      </c>
      <c r="AH67" s="8"/>
      <c r="AI67" s="8"/>
    </row>
    <row r="68" ht="12.75" customHeight="1" spans="1:35" x14ac:dyDescent="0.25">
      <c r="A68" s="8"/>
      <c r="B68" s="8"/>
      <c r="C68" s="8"/>
      <c r="D68" s="8"/>
      <c r="E68" s="8"/>
      <c r="F68" s="394"/>
      <c r="G68" s="394"/>
      <c r="H68" s="394"/>
      <c r="I68" s="394"/>
      <c r="J68" s="395"/>
      <c r="K68" s="394"/>
      <c r="L68" s="394"/>
      <c r="M68" s="394"/>
      <c r="N68" s="394"/>
      <c r="O68" s="395"/>
      <c r="P68" s="394"/>
      <c r="Q68" s="394"/>
      <c r="R68" s="394"/>
      <c r="S68" s="394"/>
      <c r="T68" s="395"/>
      <c r="U68" s="395"/>
      <c r="V68" s="395"/>
      <c r="W68" s="395"/>
      <c r="X68" s="395"/>
      <c r="Y68" s="395"/>
      <c r="Z68" s="395"/>
      <c r="AA68" s="395"/>
      <c r="AB68" s="395"/>
      <c r="AC68" s="395"/>
      <c r="AD68" s="395"/>
      <c r="AE68" s="160"/>
      <c r="AF68" s="160"/>
      <c r="AG68" s="160"/>
      <c r="AH68" s="8"/>
      <c r="AI68" s="8"/>
    </row>
    <row r="69" ht="12.75" customHeight="1" spans="1:35" x14ac:dyDescent="0.25">
      <c r="A69" s="8"/>
      <c r="B69" s="8"/>
      <c r="C69" s="345" t="s">
        <v>484</v>
      </c>
      <c r="D69" s="390"/>
      <c r="E69" s="390"/>
      <c r="F69" s="346" t="str">
        <f>Model!F$25</f>
        <v>1Q23</v>
      </c>
      <c r="G69" s="186" t="str">
        <f>Model!G$25</f>
        <v>2Q23</v>
      </c>
      <c r="H69" s="186" t="str">
        <f>Model!H$25</f>
        <v>3Q23</v>
      </c>
      <c r="I69" s="186" t="str">
        <f>Model!I$25</f>
        <v>4Q23</v>
      </c>
      <c r="J69" s="186">
        <f>Model!J$25</f>
        <v>2023</v>
      </c>
      <c r="K69" s="186" t="str">
        <f>Model!K$25</f>
        <v>1Q24</v>
      </c>
      <c r="L69" s="186" t="str">
        <f>Model!L$25</f>
        <v>2Q24</v>
      </c>
      <c r="M69" s="186" t="str">
        <f>Model!M$25</f>
        <v>3Q24</v>
      </c>
      <c r="N69" s="186" t="str">
        <f>Model!N$25</f>
        <v>4Q24</v>
      </c>
      <c r="O69" s="186">
        <f>Model!O$25</f>
        <v>2024</v>
      </c>
      <c r="P69" s="186" t="str">
        <f>Model!P$25</f>
        <v>1Q25</v>
      </c>
      <c r="Q69" s="186" t="str">
        <f>Model!Q$25</f>
        <v>2Q25</v>
      </c>
      <c r="R69" s="186" t="str">
        <f>Model!R$25</f>
        <v>3Q25</v>
      </c>
      <c r="S69" s="186" t="str">
        <f>Model!S$25</f>
        <v>4Q25</v>
      </c>
      <c r="T69" s="186">
        <f>Model!T$25</f>
        <v>2025</v>
      </c>
      <c r="U69" s="186" t="str">
        <f>Model!U$25</f>
        <v>1Q26e</v>
      </c>
      <c r="V69" s="186" t="str">
        <f>Model!V$25</f>
        <v>2Q26e</v>
      </c>
      <c r="W69" s="186" t="str">
        <f>Model!W$25</f>
        <v>3Q26</v>
      </c>
      <c r="X69" s="186" t="str">
        <f>Model!X$25</f>
        <v>4Q26e</v>
      </c>
      <c r="Y69" s="186" t="str">
        <f>Model!Y$25</f>
        <v>2026e</v>
      </c>
      <c r="Z69" s="186" t="str">
        <f>Model!Z$25</f>
        <v>1Q27e</v>
      </c>
      <c r="AA69" s="186" t="str">
        <f>Model!AA$25</f>
        <v>2Q27e</v>
      </c>
      <c r="AB69" s="186" t="str">
        <f>Model!AB$25</f>
        <v>3Q27e</v>
      </c>
      <c r="AC69" s="186" t="str">
        <f>Model!AC$25</f>
        <v>4Q27e</v>
      </c>
      <c r="AD69" s="186" t="str">
        <f>Model!AD$25</f>
        <v>2027e</v>
      </c>
      <c r="AE69" s="186" t="str">
        <f>Model!AE$25</f>
        <v>2028e</v>
      </c>
      <c r="AF69" s="186" t="str">
        <f>Model!AF$25</f>
        <v>2029e</v>
      </c>
      <c r="AG69" s="347" t="str">
        <f>Model!AG$25</f>
        <v>2030e</v>
      </c>
      <c r="AH69" s="8"/>
      <c r="AI69" s="8"/>
    </row>
    <row r="70" ht="12.75" customHeight="1" spans="1:35" x14ac:dyDescent="0.25">
      <c r="A70" s="8"/>
      <c r="B70" s="8"/>
      <c r="C70" s="535" t="s">
        <v>485</v>
      </c>
      <c r="D70" s="536"/>
      <c r="E70" s="536"/>
      <c r="F70" s="546"/>
      <c r="G70" s="547"/>
      <c r="H70" s="547"/>
      <c r="I70" s="547"/>
      <c r="J70" s="547"/>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8"/>
      <c r="AH70" s="8"/>
      <c r="AI70" s="8"/>
    </row>
    <row r="71" ht="12.75" customHeight="1" spans="1:35" x14ac:dyDescent="0.25">
      <c r="A71" s="8"/>
      <c r="B71" s="8"/>
      <c r="C71" s="8"/>
      <c r="D71" s="8"/>
      <c r="E71" s="8"/>
      <c r="F71" s="394"/>
      <c r="G71" s="394"/>
      <c r="H71" s="394"/>
      <c r="I71" s="394"/>
      <c r="J71" s="395"/>
      <c r="K71" s="394"/>
      <c r="L71" s="394"/>
      <c r="M71" s="394"/>
      <c r="N71" s="394"/>
      <c r="O71" s="395"/>
      <c r="P71" s="394"/>
      <c r="Q71" s="394"/>
      <c r="R71" s="394"/>
      <c r="S71" s="394"/>
      <c r="T71" s="395"/>
      <c r="U71" s="395"/>
      <c r="V71" s="395"/>
      <c r="W71" s="395"/>
      <c r="X71" s="395"/>
      <c r="Y71" s="395"/>
      <c r="Z71" s="395"/>
      <c r="AA71" s="395"/>
      <c r="AB71" s="395"/>
      <c r="AC71" s="395"/>
      <c r="AD71" s="395"/>
      <c r="AE71" s="160"/>
      <c r="AF71" s="160"/>
      <c r="AG71" s="160"/>
      <c r="AH71" s="8"/>
      <c r="AI71" s="8"/>
    </row>
    <row r="72" ht="12.75" customHeight="1" spans="1:35" x14ac:dyDescent="0.25">
      <c r="A72" s="8"/>
      <c r="B72" s="8"/>
      <c r="C72" s="442" t="str">
        <f>Model!C204</f>
        <v>Depreciation as a % of Avg. PP&amp;E</v>
      </c>
      <c r="D72" s="8"/>
      <c r="E72" s="8"/>
      <c r="F72" s="394" t="e">
        <f>Model!F204</f>
        <v>#DIV/0!</v>
      </c>
      <c r="G72" s="394" t="e">
        <f>Model!G204</f>
        <v>#DIV/0!</v>
      </c>
      <c r="H72" s="394" t="e">
        <f>Model!H204</f>
        <v>#DIV/0!</v>
      </c>
      <c r="I72" s="394" t="e">
        <f>Model!I204</f>
        <v>#DIV/0!</v>
      </c>
      <c r="J72" s="395" t="e">
        <f>Model!J204</f>
        <v>#DIV/0!</v>
      </c>
      <c r="K72" s="394" t="e">
        <f>Model!K204</f>
        <v>#DIV/0!</v>
      </c>
      <c r="L72" s="394" t="e">
        <f>Model!L204</f>
        <v>#DIV/0!</v>
      </c>
      <c r="M72" s="394" t="e">
        <f>Model!M204</f>
        <v>#DIV/0!</v>
      </c>
      <c r="N72" s="394" t="e">
        <f>Model!N204</f>
        <v>#DIV/0!</v>
      </c>
      <c r="O72" s="395" t="e">
        <f>Model!O204</f>
        <v>#DIV/0!</v>
      </c>
      <c r="P72" s="394" t="e">
        <f>Model!P204</f>
        <v>#DIV/0!</v>
      </c>
      <c r="Q72" s="394" t="e">
        <f>Model!Q204</f>
        <v>#DIV/0!</v>
      </c>
      <c r="R72" s="394" t="e">
        <f>Model!R204</f>
        <v>#DIV/0!</v>
      </c>
      <c r="S72" s="394" t="e">
        <f>Model!S204</f>
        <v>#DIV/0!</v>
      </c>
      <c r="T72" s="395" t="e">
        <f>Model!T204</f>
        <v>#DIV/0!</v>
      </c>
      <c r="U72" s="395">
        <f>IF(Case_Scenario="Bull",U73,IF(Case_Scenario="Base",U74,IF(Case_Scenario="bear",U75,"N/A")))</f>
        <v>0.159</v>
      </c>
      <c r="V72" s="395">
        <f>IF(Case_Scenario="Bull",V73,IF(Case_Scenario="Base",V74,IF(Case_Scenario="bear",V75,"N/A")))</f>
        <v>0.159</v>
      </c>
      <c r="W72" s="395">
        <f>IF(Case_Scenario="Bull",W73,IF(Case_Scenario="Base",W74,IF(Case_Scenario="bear",W75,"N/A")))</f>
        <v>0.159</v>
      </c>
      <c r="X72" s="395">
        <f>IF(Case_Scenario="Bull",X73,IF(Case_Scenario="Base",X74,IF(Case_Scenario="bear",X75,"N/A")))</f>
        <v>0.162</v>
      </c>
      <c r="Y72" s="395" t="e">
        <f>Model!Y204</f>
        <v>#DIV/0!</v>
      </c>
      <c r="Z72" s="395">
        <f>IF(Case_Scenario="Bull",Z73,IF(Case_Scenario="Base",Z74,IF(Case_Scenario="bear",Z75,"N/A")))</f>
        <v>0.159</v>
      </c>
      <c r="AA72" s="395">
        <f>IF(Case_Scenario="Bull",AA73,IF(Case_Scenario="Base",AA74,IF(Case_Scenario="bear",AA75,"N/A")))</f>
        <v>0.159</v>
      </c>
      <c r="AB72" s="395">
        <f>IF(Case_Scenario="Bull",AB73,IF(Case_Scenario="Base",AB74,IF(Case_Scenario="bear",AB75,"N/A")))</f>
        <v>0.159</v>
      </c>
      <c r="AC72" s="395">
        <f>IF(Case_Scenario="Bull",AC73,IF(Case_Scenario="Base",AC74,IF(Case_Scenario="bear",AC75,"N/A")))</f>
        <v>0.159</v>
      </c>
      <c r="AD72" s="395">
        <f>Model!AD204</f>
        <v>0.159</v>
      </c>
      <c r="AE72" s="395">
        <f>IF(Case_Scenario="Bull",AE73,IF(Case_Scenario="Base",AE74,IF(Case_Scenario="bear",AE75,"N/A")))</f>
        <v>0.16</v>
      </c>
      <c r="AF72" s="395">
        <f>IF(Case_Scenario="Bull",AF73,IF(Case_Scenario="Base",AF74,IF(Case_Scenario="bear",AF75,"N/A")))</f>
        <v>0.168</v>
      </c>
      <c r="AG72" s="395">
        <f>IF(Case_Scenario="Bull",AG73,IF(Case_Scenario="Base",AG74,IF(Case_Scenario="bear",AG75,"N/A")))</f>
        <v>0.176</v>
      </c>
      <c r="AH72" s="8"/>
      <c r="AI72" s="8"/>
    </row>
    <row r="73" ht="12.75" customHeight="1" spans="1:35" x14ac:dyDescent="0.25">
      <c r="A73" s="8"/>
      <c r="B73" s="8"/>
      <c r="C73" s="130" t="s">
        <v>249</v>
      </c>
      <c r="D73" s="8"/>
      <c r="E73" s="8"/>
      <c r="F73" s="394"/>
      <c r="G73" s="394"/>
      <c r="H73" s="394"/>
      <c r="I73" s="394"/>
      <c r="J73" s="395"/>
      <c r="K73" s="394"/>
      <c r="L73" s="394"/>
      <c r="M73" s="394"/>
      <c r="N73" s="394"/>
      <c r="O73" s="395"/>
      <c r="P73" s="394"/>
      <c r="Q73" s="394"/>
      <c r="R73" s="394"/>
      <c r="S73" s="394"/>
      <c r="T73" s="395"/>
      <c r="U73" s="314">
        <f>U74+0.015</f>
        <v>0.174</v>
      </c>
      <c r="V73" s="314">
        <f>V74+0.015</f>
        <v>0.174</v>
      </c>
      <c r="W73" s="314">
        <f>W74+0.015</f>
        <v>0.174</v>
      </c>
      <c r="X73" s="314">
        <f>X74+0.015</f>
        <v>0.177</v>
      </c>
      <c r="Y73" s="395"/>
      <c r="Z73" s="314">
        <f>Z74+0.015</f>
        <v>0.174</v>
      </c>
      <c r="AA73" s="314">
        <f>AA74+0.015</f>
        <v>0.174</v>
      </c>
      <c r="AB73" s="314">
        <f>AB74+0.015</f>
        <v>0.174</v>
      </c>
      <c r="AC73" s="314">
        <f>AC74+0.015</f>
        <v>0.174</v>
      </c>
      <c r="AD73" s="395"/>
      <c r="AE73" s="314">
        <f>AE74+0.015</f>
        <v>0.175</v>
      </c>
      <c r="AF73" s="314">
        <f>AF74+0.015</f>
        <v>0.183</v>
      </c>
      <c r="AG73" s="314">
        <f>AG74+0.015</f>
        <v>0.191</v>
      </c>
      <c r="AH73" s="8"/>
      <c r="AI73" s="8"/>
    </row>
    <row r="74" ht="12.75" customHeight="1" spans="1:35" x14ac:dyDescent="0.25">
      <c r="A74" s="8"/>
      <c r="B74" s="8"/>
      <c r="C74" s="130" t="s">
        <v>250</v>
      </c>
      <c r="D74" s="8"/>
      <c r="E74" s="8"/>
      <c r="F74" s="394"/>
      <c r="G74" s="394"/>
      <c r="H74" s="394"/>
      <c r="I74" s="394"/>
      <c r="J74" s="395"/>
      <c r="K74" s="394"/>
      <c r="L74" s="394"/>
      <c r="M74" s="394"/>
      <c r="N74" s="394"/>
      <c r="O74" s="395"/>
      <c r="P74" s="394"/>
      <c r="Q74" s="394"/>
      <c r="R74" s="394"/>
      <c r="S74" s="394"/>
      <c r="T74" s="395"/>
      <c r="U74" s="314">
        <v>0.159</v>
      </c>
      <c r="V74" s="314">
        <v>0.159</v>
      </c>
      <c r="W74" s="314">
        <v>0.159</v>
      </c>
      <c r="X74" s="314">
        <v>0.162</v>
      </c>
      <c r="Y74" s="395"/>
      <c r="Z74" s="314">
        <v>0.159</v>
      </c>
      <c r="AA74" s="314">
        <v>0.159</v>
      </c>
      <c r="AB74" s="314">
        <v>0.159</v>
      </c>
      <c r="AC74" s="314">
        <v>0.159</v>
      </c>
      <c r="AD74" s="395"/>
      <c r="AE74" s="314">
        <v>0.16</v>
      </c>
      <c r="AF74" s="314">
        <v>0.168</v>
      </c>
      <c r="AG74" s="314">
        <v>0.176</v>
      </c>
      <c r="AH74" s="8"/>
      <c r="AI74" s="8"/>
    </row>
    <row r="75" ht="12.75" customHeight="1" spans="1:35" x14ac:dyDescent="0.25">
      <c r="A75" s="8"/>
      <c r="B75" s="8"/>
      <c r="C75" s="130" t="s">
        <v>251</v>
      </c>
      <c r="D75" s="8"/>
      <c r="E75" s="8"/>
      <c r="F75" s="394"/>
      <c r="G75" s="394"/>
      <c r="H75" s="394"/>
      <c r="I75" s="394"/>
      <c r="J75" s="395"/>
      <c r="K75" s="394"/>
      <c r="L75" s="394"/>
      <c r="M75" s="394"/>
      <c r="N75" s="394"/>
      <c r="O75" s="395"/>
      <c r="P75" s="394"/>
      <c r="Q75" s="394"/>
      <c r="R75" s="394"/>
      <c r="S75" s="394"/>
      <c r="T75" s="395"/>
      <c r="U75" s="314">
        <f>U74-0.013</f>
        <v>0.146</v>
      </c>
      <c r="V75" s="314">
        <f>V74-0.013</f>
        <v>0.146</v>
      </c>
      <c r="W75" s="314">
        <f>W74-0.013</f>
        <v>0.146</v>
      </c>
      <c r="X75" s="314">
        <f>X74-0.013</f>
        <v>0.149</v>
      </c>
      <c r="Y75" s="395"/>
      <c r="Z75" s="314">
        <f>Z74-0.013</f>
        <v>0.146</v>
      </c>
      <c r="AA75" s="314">
        <f>AA74-0.013</f>
        <v>0.146</v>
      </c>
      <c r="AB75" s="314">
        <f>AB74-0.013</f>
        <v>0.146</v>
      </c>
      <c r="AC75" s="314">
        <f>AC74-0.013</f>
        <v>0.146</v>
      </c>
      <c r="AD75" s="395"/>
      <c r="AE75" s="314">
        <f>AE74-0.013</f>
        <v>0.147</v>
      </c>
      <c r="AF75" s="314">
        <f>AF74-0.013</f>
        <v>0.155</v>
      </c>
      <c r="AG75" s="314">
        <f>AG74-0.013</f>
        <v>0.16299999999999998</v>
      </c>
      <c r="AH75" s="8"/>
      <c r="AI75" s="8"/>
    </row>
    <row r="76" ht="12.75" customHeight="1" spans="1:35" x14ac:dyDescent="0.25">
      <c r="A76" s="8"/>
      <c r="B76" s="8"/>
      <c r="C76" s="130"/>
      <c r="D76" s="8"/>
      <c r="E76" s="8"/>
      <c r="F76" s="394"/>
      <c r="G76" s="394"/>
      <c r="H76" s="394"/>
      <c r="I76" s="394"/>
      <c r="J76" s="395"/>
      <c r="K76" s="394"/>
      <c r="L76" s="394"/>
      <c r="M76" s="394"/>
      <c r="N76" s="394"/>
      <c r="O76" s="395"/>
      <c r="P76" s="394"/>
      <c r="Q76" s="394"/>
      <c r="R76" s="394"/>
      <c r="S76" s="394"/>
      <c r="T76" s="395"/>
      <c r="U76" s="314"/>
      <c r="V76" s="314"/>
      <c r="W76" s="314"/>
      <c r="X76" s="314"/>
      <c r="Y76" s="395"/>
      <c r="Z76" s="314"/>
      <c r="AA76" s="314"/>
      <c r="AB76" s="314"/>
      <c r="AC76" s="314"/>
      <c r="AD76" s="395"/>
      <c r="AE76" s="314"/>
      <c r="AF76" s="314"/>
      <c r="AG76" s="314"/>
      <c r="AH76" s="8"/>
      <c r="AI76" s="8"/>
    </row>
    <row r="77" ht="12.75" customHeight="1" spans="1:35" x14ac:dyDescent="0.25">
      <c r="A77" s="8"/>
      <c r="B77" s="8"/>
      <c r="C77" s="519" t="str">
        <f>'Segment Analysis'!C62</f>
        <v>Segment D&amp;A Mix</v>
      </c>
      <c r="D77" s="8"/>
      <c r="E77" s="8"/>
      <c r="F77" s="394"/>
      <c r="G77" s="394"/>
      <c r="H77" s="394"/>
      <c r="I77" s="394"/>
      <c r="J77" s="395"/>
      <c r="K77" s="394"/>
      <c r="L77" s="394"/>
      <c r="M77" s="394"/>
      <c r="N77" s="394"/>
      <c r="O77" s="395"/>
      <c r="P77" s="394"/>
      <c r="Q77" s="394"/>
      <c r="R77" s="394"/>
      <c r="S77" s="394"/>
      <c r="T77" s="395"/>
      <c r="U77" s="314"/>
      <c r="V77" s="314"/>
      <c r="W77" s="314"/>
      <c r="X77" s="314"/>
      <c r="Y77" s="395"/>
      <c r="Z77" s="314"/>
      <c r="AA77" s="314"/>
      <c r="AB77" s="314"/>
      <c r="AC77" s="314"/>
      <c r="AD77" s="395"/>
      <c r="AE77" s="314"/>
      <c r="AF77" s="314"/>
      <c r="AG77" s="314"/>
      <c r="AH77" s="8"/>
      <c r="AI77" s="8"/>
    </row>
    <row r="78" ht="12.75" customHeight="1" spans="1:35" x14ac:dyDescent="0.25">
      <c r="A78" s="8"/>
      <c r="B78" s="8"/>
      <c r="C78" s="519" t="str">
        <f>'Segment Analysis'!C63</f>
        <v>Collection</v>
      </c>
      <c r="D78" s="8"/>
      <c r="E78" s="8"/>
      <c r="F78" s="549" t="str">
        <f>'Segment Analysis'!F63</f>
        <v>N/A</v>
      </c>
      <c r="G78" s="549" t="str">
        <f>'Segment Analysis'!G63</f>
        <v>N/A</v>
      </c>
      <c r="H78" s="549" t="str">
        <f>'Segment Analysis'!H63</f>
        <v>N/A</v>
      </c>
      <c r="I78" s="549" t="str">
        <f>'Segment Analysis'!I63</f>
        <v>N/A</v>
      </c>
      <c r="J78" s="398" t="str">
        <f>'Segment Analysis'!J63</f>
        <v>N/A</v>
      </c>
      <c r="K78" s="549" t="str">
        <f>'Segment Analysis'!K63</f>
        <v>N/A</v>
      </c>
      <c r="L78" s="549" t="str">
        <f>'Segment Analysis'!L63</f>
        <v>N/A</v>
      </c>
      <c r="M78" s="549" t="str">
        <f>'Segment Analysis'!M63</f>
        <v>N/A</v>
      </c>
      <c r="N78" s="549" t="str">
        <f>'Segment Analysis'!N63</f>
        <v>N/A</v>
      </c>
      <c r="O78" s="398" t="str">
        <f>'Segment Analysis'!O63</f>
        <v>N/A</v>
      </c>
      <c r="P78" s="549" t="str">
        <f>'Segment Analysis'!P63</f>
        <v>N/A</v>
      </c>
      <c r="Q78" s="549" t="str">
        <f>'Segment Analysis'!Q63</f>
        <v>N/A</v>
      </c>
      <c r="R78" s="549" t="str">
        <f>'Segment Analysis'!R63</f>
        <v>N/A</v>
      </c>
      <c r="S78" s="549">
        <f>'Segment Analysis'!S63</f>
        <v>1</v>
      </c>
      <c r="T78" s="398">
        <f>'Segment Analysis'!T63</f>
        <v>1</v>
      </c>
      <c r="U78" s="314">
        <v>1</v>
      </c>
      <c r="V78" s="314">
        <v>1</v>
      </c>
      <c r="W78" s="314">
        <v>1</v>
      </c>
      <c r="X78" s="314">
        <v>1</v>
      </c>
      <c r="Y78" s="398">
        <v>1</v>
      </c>
      <c r="Z78" s="314">
        <v>1</v>
      </c>
      <c r="AA78" s="314">
        <v>1</v>
      </c>
      <c r="AB78" s="314">
        <v>1</v>
      </c>
      <c r="AC78" s="314">
        <v>1</v>
      </c>
      <c r="AD78" s="398">
        <v>1</v>
      </c>
      <c r="AE78" s="314">
        <v>1</v>
      </c>
      <c r="AF78" s="314">
        <v>1</v>
      </c>
      <c r="AG78" s="314">
        <v>1</v>
      </c>
      <c r="AH78" s="8"/>
      <c r="AI78" s="8"/>
    </row>
    <row r="79" ht="12.75" customHeight="1" spans="1:35" x14ac:dyDescent="0.25">
      <c r="A79" s="8"/>
      <c r="B79" s="8"/>
      <c r="C79" s="519" t="str">
        <f>'Segment Analysis'!C64</f>
        <v>Landfill</v>
      </c>
      <c r="D79" s="8"/>
      <c r="E79" s="8"/>
      <c r="F79" s="549" t="str">
        <f>'Segment Analysis'!F64</f>
        <v>N/A</v>
      </c>
      <c r="G79" s="549" t="str">
        <f>'Segment Analysis'!G64</f>
        <v>N/A</v>
      </c>
      <c r="H79" s="549" t="str">
        <f>'Segment Analysis'!H64</f>
        <v>N/A</v>
      </c>
      <c r="I79" s="549" t="str">
        <f>'Segment Analysis'!I64</f>
        <v>N/A</v>
      </c>
      <c r="J79" s="398" t="str">
        <f>'Segment Analysis'!J64</f>
        <v>N/A</v>
      </c>
      <c r="K79" s="549" t="str">
        <f>'Segment Analysis'!K64</f>
        <v>N/A</v>
      </c>
      <c r="L79" s="549" t="str">
        <f>'Segment Analysis'!L64</f>
        <v>N/A</v>
      </c>
      <c r="M79" s="549" t="str">
        <f>'Segment Analysis'!M64</f>
        <v>N/A</v>
      </c>
      <c r="N79" s="549" t="str">
        <f>'Segment Analysis'!N64</f>
        <v>N/A</v>
      </c>
      <c r="O79" s="398" t="str">
        <f>'Segment Analysis'!O64</f>
        <v>N/A</v>
      </c>
      <c r="P79" s="549" t="str">
        <f>'Segment Analysis'!P64</f>
        <v>N/A</v>
      </c>
      <c r="Q79" s="549" t="str">
        <f>'Segment Analysis'!Q64</f>
        <v>N/A</v>
      </c>
      <c r="R79" s="549" t="str">
        <f>'Segment Analysis'!R64</f>
        <v>N/A</v>
      </c>
      <c r="S79" s="549">
        <f>'Segment Analysis'!S64</f>
        <v>0</v>
      </c>
      <c r="T79" s="398">
        <f>'Segment Analysis'!T64</f>
        <v>0</v>
      </c>
      <c r="U79" s="398">
        <v>0</v>
      </c>
      <c r="V79" s="398">
        <v>0</v>
      </c>
      <c r="W79" s="398">
        <v>0</v>
      </c>
      <c r="X79" s="314">
        <v>0</v>
      </c>
      <c r="Y79" s="398">
        <v>0</v>
      </c>
      <c r="Z79" s="398">
        <v>0</v>
      </c>
      <c r="AA79" s="398">
        <v>0</v>
      </c>
      <c r="AB79" s="398">
        <v>0</v>
      </c>
      <c r="AC79" s="398">
        <v>0</v>
      </c>
      <c r="AD79" s="398">
        <v>0</v>
      </c>
      <c r="AE79" s="314">
        <v>0</v>
      </c>
      <c r="AF79" s="314">
        <v>0</v>
      </c>
      <c r="AG79" s="314">
        <v>0</v>
      </c>
      <c r="AH79" s="8"/>
      <c r="AI79" s="8"/>
    </row>
    <row r="80" ht="12.75" customHeight="1" spans="1:35" x14ac:dyDescent="0.25">
      <c r="A80" s="8"/>
      <c r="B80" s="8"/>
      <c r="C80" s="519" t="str">
        <f>'Segment Analysis'!C65</f>
        <v>Environmental solutions</v>
      </c>
      <c r="D80" s="8"/>
      <c r="E80" s="8"/>
      <c r="F80" s="549" t="str">
        <f>'Segment Analysis'!F65</f>
        <v>N/A</v>
      </c>
      <c r="G80" s="549" t="str">
        <f>'Segment Analysis'!G65</f>
        <v>N/A</v>
      </c>
      <c r="H80" s="549" t="str">
        <f>'Segment Analysis'!H65</f>
        <v>N/A</v>
      </c>
      <c r="I80" s="549" t="str">
        <f>'Segment Analysis'!I65</f>
        <v>N/A</v>
      </c>
      <c r="J80" s="398" t="str">
        <f>'Segment Analysis'!J65</f>
        <v>N/A</v>
      </c>
      <c r="K80" s="549" t="str">
        <f>'Segment Analysis'!K65</f>
        <v>N/A</v>
      </c>
      <c r="L80" s="549" t="str">
        <f>'Segment Analysis'!L65</f>
        <v>N/A</v>
      </c>
      <c r="M80" s="549" t="str">
        <f>'Segment Analysis'!M65</f>
        <v>N/A</v>
      </c>
      <c r="N80" s="549" t="str">
        <f>'Segment Analysis'!N65</f>
        <v>N/A</v>
      </c>
      <c r="O80" s="398" t="str">
        <f>'Segment Analysis'!O65</f>
        <v>N/A</v>
      </c>
      <c r="P80" s="549" t="str">
        <f>'Segment Analysis'!P65</f>
        <v>N/A</v>
      </c>
      <c r="Q80" s="549" t="str">
        <f>'Segment Analysis'!Q65</f>
        <v>N/A</v>
      </c>
      <c r="R80" s="549" t="str">
        <f>'Segment Analysis'!R65</f>
        <v>N/A</v>
      </c>
      <c r="S80" s="549">
        <f>'Segment Analysis'!S65</f>
        <v>0</v>
      </c>
      <c r="T80" s="398">
        <f>'Segment Analysis'!T65</f>
        <v>0</v>
      </c>
      <c r="U80" s="398">
        <v>0</v>
      </c>
      <c r="V80" s="398">
        <v>0</v>
      </c>
      <c r="W80" s="398">
        <v>0</v>
      </c>
      <c r="X80" s="314">
        <v>0</v>
      </c>
      <c r="Y80" s="398">
        <v>0</v>
      </c>
      <c r="Z80" s="398">
        <v>0</v>
      </c>
      <c r="AA80" s="398">
        <v>0</v>
      </c>
      <c r="AB80" s="398">
        <v>0</v>
      </c>
      <c r="AC80" s="398">
        <v>0</v>
      </c>
      <c r="AD80" s="398">
        <v>0</v>
      </c>
      <c r="AE80" s="314">
        <v>0</v>
      </c>
      <c r="AF80" s="314">
        <v>0</v>
      </c>
      <c r="AG80" s="314">
        <v>0</v>
      </c>
      <c r="AH80" s="8"/>
      <c r="AI80" s="8"/>
    </row>
    <row r="81" ht="12.75" customHeight="1" spans="1:35" x14ac:dyDescent="0.25">
      <c r="A81" s="8"/>
      <c r="B81" s="8"/>
      <c r="C81" s="519" t="str">
        <f>'Segment Analysis'!C66</f>
        <v>Transfer</v>
      </c>
      <c r="D81" s="8"/>
      <c r="E81" s="8"/>
      <c r="F81" s="549" t="str">
        <f>'Segment Analysis'!F66</f>
        <v>N/A</v>
      </c>
      <c r="G81" s="549" t="str">
        <f>'Segment Analysis'!G66</f>
        <v>N/A</v>
      </c>
      <c r="H81" s="549" t="str">
        <f>'Segment Analysis'!H66</f>
        <v>N/A</v>
      </c>
      <c r="I81" s="549" t="str">
        <f>'Segment Analysis'!I66</f>
        <v>N/A</v>
      </c>
      <c r="J81" s="398" t="str">
        <f>'Segment Analysis'!J66</f>
        <v>N/A</v>
      </c>
      <c r="K81" s="549" t="str">
        <f>'Segment Analysis'!K66</f>
        <v>N/A</v>
      </c>
      <c r="L81" s="549" t="str">
        <f>'Segment Analysis'!L66</f>
        <v>N/A</v>
      </c>
      <c r="M81" s="549" t="str">
        <f>'Segment Analysis'!M66</f>
        <v>N/A</v>
      </c>
      <c r="N81" s="549" t="str">
        <f>'Segment Analysis'!N66</f>
        <v>N/A</v>
      </c>
      <c r="O81" s="398" t="str">
        <f>'Segment Analysis'!O66</f>
        <v>N/A</v>
      </c>
      <c r="P81" s="549" t="str">
        <f>'Segment Analysis'!P66</f>
        <v>N/A</v>
      </c>
      <c r="Q81" s="549" t="str">
        <f>'Segment Analysis'!Q66</f>
        <v>N/A</v>
      </c>
      <c r="R81" s="549" t="str">
        <f>'Segment Analysis'!R66</f>
        <v>N/A</v>
      </c>
      <c r="S81" s="549">
        <f>'Segment Analysis'!S66</f>
        <v>0</v>
      </c>
      <c r="T81" s="398">
        <f>'Segment Analysis'!T66</f>
        <v>0</v>
      </c>
      <c r="U81" s="398">
        <v>0</v>
      </c>
      <c r="V81" s="398">
        <v>0</v>
      </c>
      <c r="W81" s="398">
        <v>0</v>
      </c>
      <c r="X81" s="314">
        <v>0</v>
      </c>
      <c r="Y81" s="398">
        <v>0</v>
      </c>
      <c r="Z81" s="398">
        <v>0</v>
      </c>
      <c r="AA81" s="398">
        <v>0</v>
      </c>
      <c r="AB81" s="398">
        <v>0</v>
      </c>
      <c r="AC81" s="398">
        <v>0</v>
      </c>
      <c r="AD81" s="398">
        <v>0</v>
      </c>
      <c r="AE81" s="314">
        <v>0</v>
      </c>
      <c r="AF81" s="314">
        <v>0</v>
      </c>
      <c r="AG81" s="314">
        <v>0</v>
      </c>
      <c r="AH81" s="8"/>
      <c r="AI81" s="8"/>
    </row>
    <row r="82" ht="12.75" customHeight="1" spans="1:35" x14ac:dyDescent="0.25">
      <c r="A82" s="8"/>
      <c r="B82" s="8"/>
      <c r="C82" s="519" t="str">
        <f>'Segment Analysis'!C67</f>
        <v>Other</v>
      </c>
      <c r="D82" s="8"/>
      <c r="E82" s="8"/>
      <c r="F82" s="549" t="str">
        <f>'Segment Analysis'!F67</f>
        <v>N/A</v>
      </c>
      <c r="G82" s="549" t="str">
        <f>'Segment Analysis'!G67</f>
        <v>N/A</v>
      </c>
      <c r="H82" s="549" t="str">
        <f>'Segment Analysis'!H67</f>
        <v>N/A</v>
      </c>
      <c r="I82" s="549" t="str">
        <f>'Segment Analysis'!I67</f>
        <v>N/A</v>
      </c>
      <c r="J82" s="398" t="str">
        <f>'Segment Analysis'!J67</f>
        <v>N/A</v>
      </c>
      <c r="K82" s="549" t="str">
        <f>'Segment Analysis'!K67</f>
        <v>N/A</v>
      </c>
      <c r="L82" s="549" t="str">
        <f>'Segment Analysis'!L67</f>
        <v>N/A</v>
      </c>
      <c r="M82" s="549" t="str">
        <f>'Segment Analysis'!M67</f>
        <v>N/A</v>
      </c>
      <c r="N82" s="549" t="str">
        <f>'Segment Analysis'!N67</f>
        <v>N/A</v>
      </c>
      <c r="O82" s="398" t="str">
        <f>'Segment Analysis'!O67</f>
        <v>N/A</v>
      </c>
      <c r="P82" s="549" t="str">
        <f>'Segment Analysis'!P67</f>
        <v>N/A</v>
      </c>
      <c r="Q82" s="549" t="str">
        <f>'Segment Analysis'!Q67</f>
        <v>N/A</v>
      </c>
      <c r="R82" s="549" t="str">
        <f>'Segment Analysis'!R67</f>
        <v>N/A</v>
      </c>
      <c r="S82" s="549">
        <f>'Segment Analysis'!S67</f>
        <v>0</v>
      </c>
      <c r="T82" s="398">
        <f>'Segment Analysis'!T67</f>
        <v>0</v>
      </c>
      <c r="U82" s="398">
        <v>0</v>
      </c>
      <c r="V82" s="398">
        <v>0</v>
      </c>
      <c r="W82" s="398">
        <v>0</v>
      </c>
      <c r="X82" s="314">
        <v>0</v>
      </c>
      <c r="Y82" s="398">
        <v>0</v>
      </c>
      <c r="Z82" s="398">
        <v>0</v>
      </c>
      <c r="AA82" s="398">
        <v>0</v>
      </c>
      <c r="AB82" s="398">
        <v>0</v>
      </c>
      <c r="AC82" s="398">
        <v>0</v>
      </c>
      <c r="AD82" s="398">
        <v>0</v>
      </c>
      <c r="AE82" s="314">
        <v>0</v>
      </c>
      <c r="AF82" s="314">
        <v>0</v>
      </c>
      <c r="AG82" s="314">
        <v>0</v>
      </c>
      <c r="AH82" s="8"/>
      <c r="AI82" s="8"/>
    </row>
    <row r="83" ht="12.75" customHeight="1" spans="1:35" x14ac:dyDescent="0.25">
      <c r="A83" s="8"/>
      <c r="B83" s="8"/>
      <c r="C83" s="519" t="str">
        <f>'Segment Analysis'!C68</f>
        <v>Professional Services and Other</v>
      </c>
      <c r="D83" s="8"/>
      <c r="E83" s="8"/>
      <c r="F83" s="549" t="str">
        <f>'Segment Analysis'!F68</f>
        <v>N/A</v>
      </c>
      <c r="G83" s="549" t="str">
        <f>'Segment Analysis'!G68</f>
        <v>N/A</v>
      </c>
      <c r="H83" s="549" t="str">
        <f>'Segment Analysis'!H68</f>
        <v>N/A</v>
      </c>
      <c r="I83" s="549" t="str">
        <f>'Segment Analysis'!I68</f>
        <v>N/A</v>
      </c>
      <c r="J83" s="398" t="str">
        <f>'Segment Analysis'!J68</f>
        <v>N/A</v>
      </c>
      <c r="K83" s="549" t="str">
        <f>'Segment Analysis'!K68</f>
        <v>N/A</v>
      </c>
      <c r="L83" s="549" t="str">
        <f>'Segment Analysis'!L68</f>
        <v>N/A</v>
      </c>
      <c r="M83" s="549" t="str">
        <f>'Segment Analysis'!M68</f>
        <v>N/A</v>
      </c>
      <c r="N83" s="549" t="str">
        <f>'Segment Analysis'!N68</f>
        <v>N/A</v>
      </c>
      <c r="O83" s="398" t="str">
        <f>'Segment Analysis'!O68</f>
        <v>N/A</v>
      </c>
      <c r="P83" s="549" t="str">
        <f>'Segment Analysis'!P68</f>
        <v>N/A</v>
      </c>
      <c r="Q83" s="549" t="str">
        <f>'Segment Analysis'!Q68</f>
        <v>N/A</v>
      </c>
      <c r="R83" s="549" t="str">
        <f>'Segment Analysis'!R68</f>
        <v>N/A</v>
      </c>
      <c r="S83" s="549">
        <f>'Segment Analysis'!S68</f>
        <v>0</v>
      </c>
      <c r="T83" s="398">
        <f>'Segment Analysis'!T68</f>
        <v>0</v>
      </c>
      <c r="U83" s="398">
        <v>0</v>
      </c>
      <c r="V83" s="398">
        <v>0</v>
      </c>
      <c r="W83" s="398">
        <v>0</v>
      </c>
      <c r="X83" s="314">
        <v>0</v>
      </c>
      <c r="Y83" s="398">
        <v>0</v>
      </c>
      <c r="Z83" s="398">
        <v>0</v>
      </c>
      <c r="AA83" s="398">
        <v>0</v>
      </c>
      <c r="AB83" s="398">
        <v>0</v>
      </c>
      <c r="AC83" s="398">
        <v>0</v>
      </c>
      <c r="AD83" s="398">
        <v>0</v>
      </c>
      <c r="AE83" s="314">
        <v>0</v>
      </c>
      <c r="AF83" s="314">
        <v>0</v>
      </c>
      <c r="AG83" s="314">
        <v>0</v>
      </c>
      <c r="AH83" s="8"/>
      <c r="AI83" s="8"/>
    </row>
    <row r="84" ht="12.75" customHeight="1" spans="1:35" x14ac:dyDescent="0.25">
      <c r="A84" s="257" t="s">
        <v>3</v>
      </c>
      <c r="B84" s="8"/>
      <c r="C84" s="8"/>
      <c r="D84" s="8"/>
      <c r="E84" s="8"/>
      <c r="F84" s="394"/>
      <c r="G84" s="394"/>
      <c r="H84" s="394"/>
      <c r="I84" s="394"/>
      <c r="J84" s="395"/>
      <c r="K84" s="394"/>
      <c r="L84" s="394"/>
      <c r="M84" s="394"/>
      <c r="N84" s="394"/>
      <c r="O84" s="395"/>
      <c r="P84" s="394"/>
      <c r="Q84" s="394"/>
      <c r="R84" s="394"/>
      <c r="S84" s="394"/>
      <c r="T84" s="395"/>
      <c r="U84" s="314"/>
      <c r="V84" s="314"/>
      <c r="W84" s="314"/>
      <c r="X84" s="314"/>
      <c r="Y84" s="395"/>
      <c r="Z84" s="314"/>
      <c r="AA84" s="314"/>
      <c r="AB84" s="314"/>
      <c r="AC84" s="314"/>
      <c r="AD84" s="395"/>
      <c r="AE84" s="314"/>
      <c r="AF84" s="314"/>
      <c r="AG84" s="314"/>
      <c r="AH84" s="257" t="s">
        <v>3</v>
      </c>
      <c r="AI84" s="257"/>
    </row>
    <row r="85" ht="12.75" customHeight="1" spans="1:35" x14ac:dyDescent="0.25">
      <c r="A85" s="257"/>
      <c r="B85" s="8"/>
      <c r="C85" s="442" t="str">
        <f>Model!C217</f>
        <v>Amortization as a % of Avg. Intangibles</v>
      </c>
      <c r="D85" s="8"/>
      <c r="E85" s="8"/>
      <c r="F85" s="394"/>
      <c r="G85" s="394" t="e">
        <f>Model!G217</f>
        <v>#DIV/0!</v>
      </c>
      <c r="H85" s="394" t="e">
        <f>Model!H217</f>
        <v>#DIV/0!</v>
      </c>
      <c r="I85" s="394" t="e">
        <f>Model!I217</f>
        <v>#DIV/0!</v>
      </c>
      <c r="J85" s="395" t="e">
        <f>Model!J217</f>
        <v>#DIV/0!</v>
      </c>
      <c r="K85" s="394" t="e">
        <f>Model!K217</f>
        <v>#DIV/0!</v>
      </c>
      <c r="L85" s="394" t="e">
        <f>Model!L217</f>
        <v>#DIV/0!</v>
      </c>
      <c r="M85" s="394" t="e">
        <f>Model!M217</f>
        <v>#DIV/0!</v>
      </c>
      <c r="N85" s="394" t="e">
        <f>Model!N217</f>
        <v>#DIV/0!</v>
      </c>
      <c r="O85" s="395" t="e">
        <f>Model!O217</f>
        <v>#DIV/0!</v>
      </c>
      <c r="P85" s="394" t="e">
        <f>Model!P217</f>
        <v>#DIV/0!</v>
      </c>
      <c r="Q85" s="394" t="e">
        <f>Model!Q217</f>
        <v>#DIV/0!</v>
      </c>
      <c r="R85" s="394" t="e">
        <f>Model!R217</f>
        <v>#DIV/0!</v>
      </c>
      <c r="S85" s="394" t="e">
        <f>Model!S217</f>
        <v>#DIV/0!</v>
      </c>
      <c r="T85" s="395" t="e">
        <f>Model!T217</f>
        <v>#DIV/0!</v>
      </c>
      <c r="U85" s="395">
        <f>IF(Case_Scenario="Bull",U86,IF(Case_Scenario="Base",U87,IF(Case_Scenario="bear",U88,"N/A")))</f>
        <v>0</v>
      </c>
      <c r="V85" s="395">
        <f>IF(Case_Scenario="Bull",V86,IF(Case_Scenario="Base",V87,IF(Case_Scenario="bear",V88,"N/A")))</f>
        <v>0</v>
      </c>
      <c r="W85" s="395">
        <f>IF(Case_Scenario="Bull",W86,IF(Case_Scenario="Base",W87,IF(Case_Scenario="bear",W88,"N/A")))</f>
        <v>0</v>
      </c>
      <c r="X85" s="395">
        <f>IF(Case_Scenario="Bull",X86,IF(Case_Scenario="Base",X87,IF(Case_Scenario="bear",X88,"N/A")))</f>
        <v>0</v>
      </c>
      <c r="Y85" s="395" t="e">
        <f>Model!Y217</f>
        <v>#DIV/0!</v>
      </c>
      <c r="Z85" s="395">
        <f>IF(Case_Scenario="Bull",Z86,IF(Case_Scenario="Base",Z87,IF(Case_Scenario="bear",Z88,"N/A")))</f>
        <v>0</v>
      </c>
      <c r="AA85" s="395">
        <f>IF(Case_Scenario="Bull",AA86,IF(Case_Scenario="Base",AA87,IF(Case_Scenario="bear",AA88,"N/A")))</f>
        <v>0</v>
      </c>
      <c r="AB85" s="395">
        <f>IF(Case_Scenario="Bull",AB86,IF(Case_Scenario="Base",AB87,IF(Case_Scenario="bear",AB88,"N/A")))</f>
        <v>0</v>
      </c>
      <c r="AC85" s="395">
        <f>IF(Case_Scenario="Bull",AC86,IF(Case_Scenario="Base",AC87,IF(Case_Scenario="bear",AC88,"N/A")))</f>
        <v>0</v>
      </c>
      <c r="AD85" s="395" t="e">
        <f>Model!AD217</f>
        <v>#DIV/0!</v>
      </c>
      <c r="AE85" s="395">
        <f>IF(Case_Scenario="Bull",AE86,IF(Case_Scenario="Base",AE87,IF(Case_Scenario="bear",AE88,"N/A")))</f>
        <v>0</v>
      </c>
      <c r="AF85" s="395">
        <f>IF(Case_Scenario="Bull",AF86,IF(Case_Scenario="Base",AF87,IF(Case_Scenario="bear",AF88,"N/A")))</f>
        <v>0</v>
      </c>
      <c r="AG85" s="395">
        <f>IF(Case_Scenario="Bull",AG86,IF(Case_Scenario="Base",AG87,IF(Case_Scenario="bear",AG88,"N/A")))</f>
        <v>0</v>
      </c>
      <c r="AH85" s="8"/>
      <c r="AI85" s="8"/>
    </row>
    <row r="86" ht="12.75" customHeight="1" spans="1:35" x14ac:dyDescent="0.25">
      <c r="A86" s="8"/>
      <c r="B86" s="8"/>
      <c r="C86" s="130" t="s">
        <v>249</v>
      </c>
      <c r="D86" s="8"/>
      <c r="E86" s="8"/>
      <c r="F86" s="394"/>
      <c r="G86" s="394"/>
      <c r="H86" s="394"/>
      <c r="I86" s="394"/>
      <c r="J86" s="395"/>
      <c r="K86" s="394"/>
      <c r="L86" s="394"/>
      <c r="M86" s="394"/>
      <c r="N86" s="394"/>
      <c r="O86" s="395"/>
      <c r="P86" s="394"/>
      <c r="Q86" s="394"/>
      <c r="R86" s="394"/>
      <c r="S86" s="394"/>
      <c r="T86" s="395"/>
      <c r="U86" s="314">
        <v>0</v>
      </c>
      <c r="V86" s="314">
        <v>0</v>
      </c>
      <c r="W86" s="314">
        <v>0</v>
      </c>
      <c r="X86" s="314">
        <v>0</v>
      </c>
      <c r="Y86" s="395"/>
      <c r="Z86" s="314">
        <v>0</v>
      </c>
      <c r="AA86" s="314">
        <v>0</v>
      </c>
      <c r="AB86" s="314">
        <v>0</v>
      </c>
      <c r="AC86" s="314">
        <v>0</v>
      </c>
      <c r="AD86" s="395"/>
      <c r="AE86" s="314">
        <v>0</v>
      </c>
      <c r="AF86" s="314">
        <v>0</v>
      </c>
      <c r="AG86" s="314">
        <v>0</v>
      </c>
      <c r="AH86" s="8"/>
      <c r="AI86" s="8"/>
    </row>
    <row r="87" ht="12.75" customHeight="1" spans="1:35" x14ac:dyDescent="0.25">
      <c r="A87" s="8"/>
      <c r="B87" s="8"/>
      <c r="C87" s="130" t="s">
        <v>250</v>
      </c>
      <c r="D87" s="8"/>
      <c r="E87" s="8"/>
      <c r="F87" s="394"/>
      <c r="G87" s="394"/>
      <c r="H87" s="394"/>
      <c r="I87" s="394"/>
      <c r="J87" s="395"/>
      <c r="K87" s="394"/>
      <c r="L87" s="394"/>
      <c r="M87" s="394"/>
      <c r="N87" s="394"/>
      <c r="O87" s="395"/>
      <c r="P87" s="394"/>
      <c r="Q87" s="394"/>
      <c r="R87" s="394"/>
      <c r="S87" s="394"/>
      <c r="T87" s="395"/>
      <c r="U87" s="314">
        <v>0</v>
      </c>
      <c r="V87" s="314">
        <v>0</v>
      </c>
      <c r="W87" s="314">
        <v>0</v>
      </c>
      <c r="X87" s="314">
        <v>0</v>
      </c>
      <c r="Y87" s="395"/>
      <c r="Z87" s="314">
        <v>0</v>
      </c>
      <c r="AA87" s="314">
        <v>0</v>
      </c>
      <c r="AB87" s="314">
        <v>0</v>
      </c>
      <c r="AC87" s="314">
        <v>0</v>
      </c>
      <c r="AD87" s="395"/>
      <c r="AE87" s="314">
        <v>0</v>
      </c>
      <c r="AF87" s="314">
        <v>0</v>
      </c>
      <c r="AG87" s="314">
        <v>0</v>
      </c>
      <c r="AH87" s="8"/>
      <c r="AI87" s="8"/>
    </row>
    <row r="88" ht="12.75" customHeight="1" spans="1:35" x14ac:dyDescent="0.25">
      <c r="A88" s="8"/>
      <c r="B88" s="8"/>
      <c r="C88" s="130" t="s">
        <v>251</v>
      </c>
      <c r="D88" s="8"/>
      <c r="E88" s="8"/>
      <c r="F88" s="394"/>
      <c r="G88" s="394"/>
      <c r="H88" s="394"/>
      <c r="I88" s="394"/>
      <c r="J88" s="395"/>
      <c r="K88" s="394"/>
      <c r="L88" s="394"/>
      <c r="M88" s="394"/>
      <c r="N88" s="394"/>
      <c r="O88" s="395"/>
      <c r="P88" s="394"/>
      <c r="Q88" s="394"/>
      <c r="R88" s="394"/>
      <c r="S88" s="394"/>
      <c r="T88" s="395"/>
      <c r="U88" s="314">
        <v>0</v>
      </c>
      <c r="V88" s="314">
        <v>0</v>
      </c>
      <c r="W88" s="314">
        <v>0</v>
      </c>
      <c r="X88" s="314">
        <v>0</v>
      </c>
      <c r="Y88" s="395"/>
      <c r="Z88" s="314">
        <v>0</v>
      </c>
      <c r="AA88" s="314">
        <v>0</v>
      </c>
      <c r="AB88" s="314">
        <v>0</v>
      </c>
      <c r="AC88" s="314">
        <v>0</v>
      </c>
      <c r="AD88" s="395"/>
      <c r="AE88" s="314">
        <v>0</v>
      </c>
      <c r="AF88" s="314">
        <v>0</v>
      </c>
      <c r="AG88" s="314">
        <v>0</v>
      </c>
      <c r="AH88" s="8"/>
      <c r="AI88" s="8"/>
    </row>
    <row r="89" ht="12.75" customHeight="1" spans="1:35" x14ac:dyDescent="0.25">
      <c r="A89" s="8"/>
      <c r="B89" s="8"/>
      <c r="C89" s="8"/>
      <c r="D89" s="8"/>
      <c r="E89" s="8"/>
      <c r="F89" s="394"/>
      <c r="G89" s="394"/>
      <c r="H89" s="394"/>
      <c r="I89" s="394"/>
      <c r="J89" s="395"/>
      <c r="K89" s="394"/>
      <c r="L89" s="394"/>
      <c r="M89" s="394"/>
      <c r="N89" s="394"/>
      <c r="O89" s="395"/>
      <c r="P89" s="394"/>
      <c r="Q89" s="394"/>
      <c r="R89" s="394"/>
      <c r="S89" s="394"/>
      <c r="T89" s="395"/>
      <c r="U89" s="314"/>
      <c r="V89" s="314"/>
      <c r="W89" s="314"/>
      <c r="X89" s="314"/>
      <c r="Y89" s="395"/>
      <c r="Z89" s="314"/>
      <c r="AA89" s="314"/>
      <c r="AB89" s="314"/>
      <c r="AC89" s="314"/>
      <c r="AD89" s="395"/>
      <c r="AE89" s="314"/>
      <c r="AF89" s="314"/>
      <c r="AG89" s="314"/>
      <c r="AH89" s="8"/>
      <c r="AI89" s="8"/>
    </row>
    <row r="90" ht="12.75" customHeight="1" spans="1:35" x14ac:dyDescent="0.25">
      <c r="A90" s="8"/>
      <c r="B90" s="8"/>
      <c r="C90" s="540" t="s">
        <v>486</v>
      </c>
      <c r="D90" s="541"/>
      <c r="E90" s="541"/>
      <c r="F90" s="542"/>
      <c r="G90" s="543"/>
      <c r="H90" s="543"/>
      <c r="I90" s="543"/>
      <c r="J90" s="543"/>
      <c r="K90" s="543"/>
      <c r="L90" s="543"/>
      <c r="M90" s="543"/>
      <c r="N90" s="543"/>
      <c r="O90" s="543"/>
      <c r="P90" s="543"/>
      <c r="Q90" s="543"/>
      <c r="R90" s="543"/>
      <c r="S90" s="543"/>
      <c r="T90" s="543"/>
      <c r="U90" s="543"/>
      <c r="V90" s="543"/>
      <c r="W90" s="543"/>
      <c r="X90" s="543"/>
      <c r="Y90" s="543"/>
      <c r="Z90" s="543"/>
      <c r="AA90" s="543"/>
      <c r="AB90" s="543"/>
      <c r="AC90" s="543"/>
      <c r="AD90" s="543"/>
      <c r="AE90" s="543"/>
      <c r="AF90" s="543"/>
      <c r="AG90" s="544"/>
      <c r="AH90" s="8"/>
      <c r="AI90" s="8"/>
    </row>
    <row r="91" ht="12.75" customHeight="1" spans="1:35" x14ac:dyDescent="0.25">
      <c r="A91" s="8"/>
      <c r="B91" s="8"/>
      <c r="C91" s="8"/>
      <c r="D91" s="8"/>
      <c r="E91" s="8"/>
      <c r="F91" s="394"/>
      <c r="G91" s="394"/>
      <c r="H91" s="394"/>
      <c r="I91" s="394"/>
      <c r="J91" s="395"/>
      <c r="K91" s="394"/>
      <c r="L91" s="394"/>
      <c r="M91" s="394"/>
      <c r="N91" s="394"/>
      <c r="O91" s="395"/>
      <c r="P91" s="394"/>
      <c r="Q91" s="394"/>
      <c r="R91" s="394"/>
      <c r="S91" s="394"/>
      <c r="T91" s="395"/>
      <c r="U91" s="395"/>
      <c r="V91" s="395"/>
      <c r="W91" s="395"/>
      <c r="X91" s="395"/>
      <c r="Y91" s="395"/>
      <c r="Z91" s="395"/>
      <c r="AA91" s="395"/>
      <c r="AB91" s="395"/>
      <c r="AC91" s="395"/>
      <c r="AD91" s="395"/>
      <c r="AE91" s="160"/>
      <c r="AF91" s="160"/>
      <c r="AG91" s="160"/>
      <c r="AH91" s="8"/>
      <c r="AI91" s="8"/>
    </row>
    <row r="92" ht="12.75" customHeight="1" spans="1:35" x14ac:dyDescent="0.25">
      <c r="A92" s="8"/>
      <c r="B92" s="8" t="s">
        <v>3</v>
      </c>
      <c r="C92" s="8" t="str">
        <f>Model!C203</f>
        <v>Capex as a % of Sales</v>
      </c>
      <c r="D92" s="8"/>
      <c r="E92" s="8"/>
      <c r="F92" s="394">
        <f>Model!F203</f>
        <v>0.10572170562117784</v>
      </c>
      <c r="G92" s="394">
        <f>Model!G203</f>
        <v>0.19171206956708442</v>
      </c>
      <c r="H92" s="394">
        <f>Model!H203</f>
        <v>0.2831229253247602</v>
      </c>
      <c r="I92" s="394">
        <f>Model!I203</f>
        <v>0.42569683683056686</v>
      </c>
      <c r="J92" s="395">
        <f>Model!J203</f>
        <v>0.2544154498980921</v>
      </c>
      <c r="K92" s="394">
        <f>Model!K203</f>
        <v>0</v>
      </c>
      <c r="L92" s="394">
        <f>Model!L203</f>
        <v>0</v>
      </c>
      <c r="M92" s="394">
        <f>Model!M203</f>
        <v>0</v>
      </c>
      <c r="N92" s="394">
        <f>Model!N203</f>
        <v>0</v>
      </c>
      <c r="O92" s="395">
        <f>Model!O203</f>
        <v>0</v>
      </c>
      <c r="P92" s="394">
        <f>Model!P203</f>
        <v>0</v>
      </c>
      <c r="Q92" s="394">
        <f>Model!Q203</f>
        <v>0</v>
      </c>
      <c r="R92" s="394">
        <f>Model!R203</f>
        <v>0</v>
      </c>
      <c r="S92" s="394">
        <f>Model!S203</f>
        <v>0</v>
      </c>
      <c r="T92" s="395">
        <f>Model!T203</f>
        <v>0</v>
      </c>
      <c r="U92" s="395">
        <f>IF(Case_Scenario="Bull",U93,IF(Case_Scenario="Base",U94,IF(Case_Scenario="bear",U95,"N/A")))</f>
        <v>0.113</v>
      </c>
      <c r="V92" s="395">
        <f>IF(Case_Scenario="Bull",V93,IF(Case_Scenario="Base",V94,IF(Case_Scenario="bear",V95,"N/A")))</f>
        <v>0.116</v>
      </c>
      <c r="W92" s="395">
        <f>IF(Case_Scenario="Bull",W93,IF(Case_Scenario="Base",W94,IF(Case_Scenario="bear",W95,"N/A")))</f>
        <v>0.112</v>
      </c>
      <c r="X92" s="395">
        <f>IF(Case_Scenario="Bull",X93,IF(Case_Scenario="Base",X94,IF(Case_Scenario="bear",X95,"N/A")))</f>
        <v>0.119</v>
      </c>
      <c r="Y92" s="395">
        <f>Model!Y203</f>
        <v>0.03046626048850527</v>
      </c>
      <c r="Z92" s="395">
        <f>IF(Case_Scenario="Bull",Z93,IF(Case_Scenario="Base",Z94,IF(Case_Scenario="bear",Z95,"N/A")))</f>
        <v>0.111</v>
      </c>
      <c r="AA92" s="395">
        <f>IF(Case_Scenario="Bull",AA93,IF(Case_Scenario="Base",AA94,IF(Case_Scenario="bear",AA95,"N/A")))</f>
        <v>0.114</v>
      </c>
      <c r="AB92" s="395">
        <f>IF(Case_Scenario="Bull",AB93,IF(Case_Scenario="Base",AB94,IF(Case_Scenario="bear",AB95,"N/A")))</f>
        <v>0.11</v>
      </c>
      <c r="AC92" s="395">
        <f>IF(Case_Scenario="Bull",AC93,IF(Case_Scenario="Base",AC94,IF(Case_Scenario="bear",AC95,"N/A")))</f>
        <v>0.117</v>
      </c>
      <c r="AD92" s="395">
        <f>Model!AD203</f>
        <v>0.1130135643986769</v>
      </c>
      <c r="AE92" s="395">
        <f>IF(Case_Scenario="Bull",AE93,IF(Case_Scenario="Base",AE94,IF(Case_Scenario="bear",AE95,"N/A")))</f>
        <v>0.1086</v>
      </c>
      <c r="AF92" s="395">
        <f>IF(Case_Scenario="Bull",AF93,IF(Case_Scenario="Base",AF94,IF(Case_Scenario="bear",AF95,"N/A")))</f>
        <v>0.1064</v>
      </c>
      <c r="AG92" s="395">
        <f>IF(Case_Scenario="Bull",AG93,IF(Case_Scenario="Base",AG94,IF(Case_Scenario="bear",AG95,"N/A")))</f>
        <v>0.107</v>
      </c>
      <c r="AH92" s="8"/>
      <c r="AI92" s="8"/>
    </row>
    <row r="93" ht="12.75" customHeight="1" spans="1:35" x14ac:dyDescent="0.25">
      <c r="A93" s="8"/>
      <c r="B93" s="8"/>
      <c r="C93" s="130" t="s">
        <v>249</v>
      </c>
      <c r="D93" s="8"/>
      <c r="E93" s="8"/>
      <c r="F93" s="394"/>
      <c r="G93" s="394"/>
      <c r="H93" s="394"/>
      <c r="I93" s="394"/>
      <c r="J93" s="395"/>
      <c r="K93" s="394"/>
      <c r="L93" s="394"/>
      <c r="M93" s="394"/>
      <c r="N93" s="394"/>
      <c r="O93" s="395"/>
      <c r="P93" s="394"/>
      <c r="Q93" s="394"/>
      <c r="R93" s="394"/>
      <c r="S93" s="394"/>
      <c r="T93" s="395"/>
      <c r="U93" s="314">
        <f>U94+1%</f>
        <v>0.123</v>
      </c>
      <c r="V93" s="314">
        <f>V94+1%</f>
        <v>0.126</v>
      </c>
      <c r="W93" s="314">
        <f>W94+1%</f>
        <v>0.122</v>
      </c>
      <c r="X93" s="314">
        <f>X94+1%</f>
        <v>0.129</v>
      </c>
      <c r="Y93" s="395"/>
      <c r="Z93" s="314">
        <f>Z94+1%</f>
        <v>0.121</v>
      </c>
      <c r="AA93" s="314">
        <f>AA94+1%</f>
        <v>0.124</v>
      </c>
      <c r="AB93" s="314">
        <f>AB94+1%</f>
        <v>0.12</v>
      </c>
      <c r="AC93" s="314">
        <f>AC94+1%</f>
        <v>0.127</v>
      </c>
      <c r="AD93" s="395"/>
      <c r="AE93" s="314">
        <f>AE94+1.5%</f>
        <v>0.1236</v>
      </c>
      <c r="AF93" s="314">
        <f>AF94+1.5%</f>
        <v>0.1214</v>
      </c>
      <c r="AG93" s="314">
        <f>AG94+1.5%</f>
        <v>0.122</v>
      </c>
      <c r="AH93" s="8"/>
      <c r="AI93" s="8"/>
    </row>
    <row r="94" ht="12.75" customHeight="1" spans="1:35" x14ac:dyDescent="0.25">
      <c r="A94" s="8"/>
      <c r="B94" s="8"/>
      <c r="C94" s="130" t="s">
        <v>250</v>
      </c>
      <c r="D94" s="8"/>
      <c r="E94" s="8"/>
      <c r="F94" s="394"/>
      <c r="G94" s="394"/>
      <c r="H94" s="394"/>
      <c r="I94" s="394"/>
      <c r="J94" s="395"/>
      <c r="K94" s="394"/>
      <c r="L94" s="394"/>
      <c r="M94" s="394"/>
      <c r="N94" s="394"/>
      <c r="O94" s="395"/>
      <c r="P94" s="394"/>
      <c r="Q94" s="394"/>
      <c r="R94" s="394"/>
      <c r="S94" s="394"/>
      <c r="T94" s="395"/>
      <c r="U94" s="314">
        <v>0.113</v>
      </c>
      <c r="V94" s="314">
        <v>0.116</v>
      </c>
      <c r="W94" s="314">
        <v>0.112</v>
      </c>
      <c r="X94" s="314">
        <v>0.119</v>
      </c>
      <c r="Y94" s="395">
        <v>-0.2760289368842892</v>
      </c>
      <c r="Z94" s="314">
        <v>0.111</v>
      </c>
      <c r="AA94" s="314">
        <v>0.114</v>
      </c>
      <c r="AB94" s="314">
        <v>0.11</v>
      </c>
      <c r="AC94" s="314">
        <v>0.117</v>
      </c>
      <c r="AD94" s="395">
        <v>-0.13793082099723283</v>
      </c>
      <c r="AE94" s="314">
        <v>0.1086</v>
      </c>
      <c r="AF94" s="314">
        <v>0.1064</v>
      </c>
      <c r="AG94" s="314">
        <v>0.107</v>
      </c>
      <c r="AH94" s="8"/>
      <c r="AI94" s="8"/>
    </row>
    <row r="95" ht="12.75" customHeight="1" spans="1:35" x14ac:dyDescent="0.25">
      <c r="A95" s="8"/>
      <c r="B95" s="8"/>
      <c r="C95" s="130" t="s">
        <v>251</v>
      </c>
      <c r="D95" s="8"/>
      <c r="E95" s="8"/>
      <c r="F95" s="394"/>
      <c r="G95" s="394"/>
      <c r="H95" s="394"/>
      <c r="I95" s="394"/>
      <c r="J95" s="395"/>
      <c r="K95" s="394"/>
      <c r="L95" s="394"/>
      <c r="M95" s="394"/>
      <c r="N95" s="394"/>
      <c r="O95" s="395"/>
      <c r="P95" s="394"/>
      <c r="Q95" s="394"/>
      <c r="R95" s="394"/>
      <c r="S95" s="394"/>
      <c r="T95" s="395"/>
      <c r="U95" s="314">
        <f>U94+0.5%</f>
        <v>0.11800000000000001</v>
      </c>
      <c r="V95" s="314">
        <f>V94+0.5%</f>
        <v>0.12100000000000001</v>
      </c>
      <c r="W95" s="314">
        <f>W94+0.5%</f>
        <v>0.117</v>
      </c>
      <c r="X95" s="314">
        <f>X94+0.5%</f>
        <v>0.124</v>
      </c>
      <c r="Y95" s="395"/>
      <c r="Z95" s="314">
        <f>Z94+0.5%</f>
        <v>0.116</v>
      </c>
      <c r="AA95" s="314">
        <f>AA94+0.5%</f>
        <v>0.11900000000000001</v>
      </c>
      <c r="AB95" s="314">
        <f>AB94+0.5%</f>
        <v>0.115</v>
      </c>
      <c r="AC95" s="314">
        <f>AC94+0.5%</f>
        <v>0.12200000000000001</v>
      </c>
      <c r="AD95" s="395"/>
      <c r="AE95" s="314">
        <f>AE94+0.5%</f>
        <v>0.1136</v>
      </c>
      <c r="AF95" s="314">
        <f>AF94+0.5%</f>
        <v>0.1114</v>
      </c>
      <c r="AG95" s="314">
        <f>AG94+0.5%</f>
        <v>0.112</v>
      </c>
      <c r="AH95" s="8"/>
      <c r="AI95" s="8"/>
    </row>
    <row r="96" ht="12.75" customHeight="1" spans="1:35" x14ac:dyDescent="0.25">
      <c r="A96" s="8"/>
      <c r="B96" s="8"/>
      <c r="C96" s="8"/>
      <c r="D96" s="8"/>
      <c r="E96" s="8"/>
      <c r="F96" s="394"/>
      <c r="G96" s="394"/>
      <c r="H96" s="394"/>
      <c r="I96" s="394"/>
      <c r="J96" s="395"/>
      <c r="K96" s="394"/>
      <c r="L96" s="394"/>
      <c r="M96" s="394"/>
      <c r="N96" s="394"/>
      <c r="O96" s="395"/>
      <c r="P96" s="394"/>
      <c r="Q96" s="394"/>
      <c r="R96" s="394"/>
      <c r="S96" s="394"/>
      <c r="T96" s="395"/>
      <c r="U96" s="314"/>
      <c r="V96" s="314"/>
      <c r="W96" s="314"/>
      <c r="X96" s="314"/>
      <c r="Y96" s="395"/>
      <c r="Z96" s="314"/>
      <c r="AA96" s="314"/>
      <c r="AB96" s="314"/>
      <c r="AC96" s="314"/>
      <c r="AD96" s="395"/>
      <c r="AE96" s="314"/>
      <c r="AF96" s="314"/>
      <c r="AG96" s="314"/>
      <c r="AH96" s="8"/>
      <c r="AI96" s="8"/>
    </row>
    <row r="97" ht="12.75" customHeight="1" spans="1:35" x14ac:dyDescent="0.25">
      <c r="A97" s="8"/>
      <c r="B97" s="8"/>
      <c r="C97" s="8" t="str">
        <f>Model!C86</f>
        <v>Proceeds From/(Acquisitions of) Businesses</v>
      </c>
      <c r="D97" s="8"/>
      <c r="E97" s="8"/>
      <c r="F97" s="320">
        <f>Model!F86</f>
        <v>0</v>
      </c>
      <c r="G97" s="320">
        <f>Model!G86</f>
        <v>0</v>
      </c>
      <c r="H97" s="320">
        <f>Model!H86</f>
        <v>0</v>
      </c>
      <c r="I97" s="320">
        <f>Model!I86</f>
        <v>0</v>
      </c>
      <c r="J97" s="321">
        <f>Model!J86</f>
        <v>0</v>
      </c>
      <c r="K97" s="320">
        <f>Model!K86</f>
        <v>0</v>
      </c>
      <c r="L97" s="320">
        <f>Model!L86</f>
        <v>0</v>
      </c>
      <c r="M97" s="320">
        <f>Model!M86</f>
        <v>0</v>
      </c>
      <c r="N97" s="320">
        <f>Model!N86</f>
        <v>0</v>
      </c>
      <c r="O97" s="321">
        <f>Model!O86</f>
        <v>0</v>
      </c>
      <c r="P97" s="320">
        <f>Model!P86</f>
        <v>0</v>
      </c>
      <c r="Q97" s="320">
        <f>Model!Q86</f>
        <v>0</v>
      </c>
      <c r="R97" s="320">
        <f>Model!R86</f>
        <v>0</v>
      </c>
      <c r="S97" s="320">
        <f>Model!S86</f>
        <v>0</v>
      </c>
      <c r="T97" s="321">
        <f>Model!T86</f>
        <v>0</v>
      </c>
      <c r="U97" s="545">
        <v>0</v>
      </c>
      <c r="V97" s="545">
        <v>0</v>
      </c>
      <c r="W97" s="545">
        <v>0</v>
      </c>
      <c r="X97" s="545">
        <v>0</v>
      </c>
      <c r="Y97" s="321">
        <f>Model!Y86</f>
        <v>0</v>
      </c>
      <c r="Z97" s="545">
        <v>0</v>
      </c>
      <c r="AA97" s="545">
        <v>0</v>
      </c>
      <c r="AB97" s="545">
        <v>0</v>
      </c>
      <c r="AC97" s="545">
        <v>0</v>
      </c>
      <c r="AD97" s="321">
        <f>Model!AD86</f>
        <v>0</v>
      </c>
      <c r="AE97" s="545">
        <v>0</v>
      </c>
      <c r="AF97" s="545">
        <v>0</v>
      </c>
      <c r="AG97" s="545">
        <v>0</v>
      </c>
      <c r="AH97" s="8"/>
      <c r="AI97" s="8"/>
    </row>
    <row r="98" ht="12.75" customHeight="1" spans="1:35" x14ac:dyDescent="0.25">
      <c r="A98" s="8"/>
      <c r="B98" s="8"/>
      <c r="C98" s="8"/>
      <c r="D98" s="8"/>
      <c r="E98" s="8"/>
      <c r="F98" s="394"/>
      <c r="G98" s="394"/>
      <c r="H98" s="394"/>
      <c r="I98" s="394"/>
      <c r="J98" s="395"/>
      <c r="K98" s="394"/>
      <c r="L98" s="394"/>
      <c r="M98" s="394"/>
      <c r="N98" s="394"/>
      <c r="O98" s="395"/>
      <c r="P98" s="394"/>
      <c r="Q98" s="394"/>
      <c r="R98" s="394"/>
      <c r="S98" s="394"/>
      <c r="T98" s="395"/>
      <c r="U98" s="314"/>
      <c r="V98" s="314"/>
      <c r="W98" s="314"/>
      <c r="X98" s="314"/>
      <c r="Y98" s="395"/>
      <c r="Z98" s="314"/>
      <c r="AA98" s="314"/>
      <c r="AB98" s="314"/>
      <c r="AC98" s="314"/>
      <c r="AD98" s="395"/>
      <c r="AE98" s="314"/>
      <c r="AF98" s="314"/>
      <c r="AG98" s="314"/>
      <c r="AH98" s="8"/>
      <c r="AI98" s="8"/>
    </row>
    <row r="99" ht="12.75" customHeight="1" spans="1:35" x14ac:dyDescent="0.25">
      <c r="A99" s="8"/>
      <c r="B99" s="8"/>
      <c r="C99" s="540" t="s">
        <v>487</v>
      </c>
      <c r="D99" s="541"/>
      <c r="E99" s="541"/>
      <c r="F99" s="542"/>
      <c r="G99" s="543"/>
      <c r="H99" s="543"/>
      <c r="I99" s="543"/>
      <c r="J99" s="543"/>
      <c r="K99" s="543"/>
      <c r="L99" s="543"/>
      <c r="M99" s="543"/>
      <c r="N99" s="543"/>
      <c r="O99" s="543"/>
      <c r="P99" s="543"/>
      <c r="Q99" s="543"/>
      <c r="R99" s="543"/>
      <c r="S99" s="543"/>
      <c r="T99" s="543"/>
      <c r="U99" s="543"/>
      <c r="V99" s="543"/>
      <c r="W99" s="543"/>
      <c r="X99" s="543"/>
      <c r="Y99" s="543"/>
      <c r="Z99" s="543"/>
      <c r="AA99" s="543"/>
      <c r="AB99" s="543"/>
      <c r="AC99" s="543"/>
      <c r="AD99" s="543"/>
      <c r="AE99" s="543"/>
      <c r="AF99" s="543"/>
      <c r="AG99" s="544"/>
      <c r="AH99" s="8"/>
      <c r="AI99" s="8"/>
    </row>
    <row r="100" ht="12.75" customHeight="1" spans="1:35" x14ac:dyDescent="0.25">
      <c r="A100" s="8"/>
      <c r="B100" s="8"/>
      <c r="C100" s="8"/>
      <c r="D100" s="8"/>
      <c r="E100" s="8"/>
      <c r="F100" s="394"/>
      <c r="G100" s="394"/>
      <c r="H100" s="394"/>
      <c r="I100" s="394"/>
      <c r="J100" s="395"/>
      <c r="K100" s="394"/>
      <c r="L100" s="394"/>
      <c r="M100" s="394"/>
      <c r="N100" s="394"/>
      <c r="O100" s="395"/>
      <c r="P100" s="394"/>
      <c r="Q100" s="394"/>
      <c r="R100" s="394"/>
      <c r="S100" s="394"/>
      <c r="T100" s="395"/>
      <c r="U100" s="395"/>
      <c r="V100" s="395"/>
      <c r="W100" s="395"/>
      <c r="X100" s="395"/>
      <c r="Y100" s="395"/>
      <c r="Z100" s="395"/>
      <c r="AA100" s="395"/>
      <c r="AB100" s="395"/>
      <c r="AC100" s="395"/>
      <c r="AD100" s="395"/>
      <c r="AE100" s="160"/>
      <c r="AF100" s="160"/>
      <c r="AG100" s="160"/>
      <c r="AH100" s="8"/>
      <c r="AI100" s="8"/>
    </row>
    <row r="101" ht="12.75" customHeight="1" spans="1:35" x14ac:dyDescent="0.25">
      <c r="A101" s="8"/>
      <c r="B101" s="8" t="s">
        <v>3</v>
      </c>
      <c r="C101" s="8" t="str">
        <f>Model!C276</f>
        <v>Dividends YoY Growth Rate</v>
      </c>
      <c r="D101" s="8"/>
      <c r="E101" s="8"/>
      <c r="F101" s="394"/>
      <c r="G101" s="394"/>
      <c r="H101" s="394"/>
      <c r="I101" s="394"/>
      <c r="J101" s="395"/>
      <c r="K101" s="394" t="e">
        <f>Model!K276</f>
        <v>#DIV/0!</v>
      </c>
      <c r="L101" s="394" t="e">
        <f>Model!L276</f>
        <v>#DIV/0!</v>
      </c>
      <c r="M101" s="394" t="e">
        <f>Model!M276</f>
        <v>#DIV/0!</v>
      </c>
      <c r="N101" s="394" t="e">
        <f>Model!N276</f>
        <v>#DIV/0!</v>
      </c>
      <c r="O101" s="395"/>
      <c r="P101" s="394" t="e">
        <f>Model!P276</f>
        <v>#DIV/0!</v>
      </c>
      <c r="Q101" s="394" t="e">
        <f>Model!Q276</f>
        <v>#DIV/0!</v>
      </c>
      <c r="R101" s="394" t="e">
        <f>Model!R276</f>
        <v>#DIV/0!</v>
      </c>
      <c r="S101" s="394" t="e">
        <f>Model!S276</f>
        <v>#DIV/0!</v>
      </c>
      <c r="T101" s="395"/>
      <c r="U101" s="395">
        <f>IF(Case_Scenario="Bull",U102,IF(Case_Scenario="Base",U103,IF(Case_Scenario="bear",U104,"N/A")))</f>
        <v>0.1</v>
      </c>
      <c r="V101" s="395">
        <f>IF(Case_Scenario="Bull",V102,IF(Case_Scenario="Base",V103,IF(Case_Scenario="bear",V104,"N/A")))</f>
        <v>0.1</v>
      </c>
      <c r="W101" s="395">
        <f>IF(Case_Scenario="Bull",W102,IF(Case_Scenario="Base",W103,IF(Case_Scenario="bear",W104,"N/A")))</f>
        <v>0.1</v>
      </c>
      <c r="X101" s="395">
        <f>IF(Case_Scenario="Bull",X102,IF(Case_Scenario="Base",X103,IF(Case_Scenario="bear",X104,"N/A")))</f>
        <v>0</v>
      </c>
      <c r="Y101" s="395"/>
      <c r="Z101" s="395">
        <f>IF(Case_Scenario="Bull",Z102,IF(Case_Scenario="Base",Z103,IF(Case_Scenario="bear",Z104,"N/A")))</f>
        <v>0.1</v>
      </c>
      <c r="AA101" s="395">
        <f>IF(Case_Scenario="Bull",AA102,IF(Case_Scenario="Base",AA103,IF(Case_Scenario="bear",AA104,"N/A")))</f>
        <v>0.1</v>
      </c>
      <c r="AB101" s="395">
        <f>IF(Case_Scenario="Bull",AB102,IF(Case_Scenario="Base",AB103,IF(Case_Scenario="bear",AB104,"N/A")))</f>
        <v>0.1</v>
      </c>
      <c r="AC101" s="395">
        <f>IF(Case_Scenario="Bull",AC102,IF(Case_Scenario="Base",AC103,IF(Case_Scenario="bear",AC104,"N/A")))</f>
        <v>0.1</v>
      </c>
      <c r="AD101" s="395"/>
      <c r="AE101" s="395">
        <f>IF(Case_Scenario="Bull",AE102,IF(Case_Scenario="Base",AE103,IF(Case_Scenario="bear",AE104,"N/A")))</f>
        <v>0.1</v>
      </c>
      <c r="AF101" s="395">
        <f>IF(Case_Scenario="Bull",AF102,IF(Case_Scenario="Base",AF103,IF(Case_Scenario="bear",AF104,"N/A")))</f>
        <v>0.1</v>
      </c>
      <c r="AG101" s="395">
        <f>IF(Case_Scenario="Bull",AG102,IF(Case_Scenario="Base",AG103,IF(Case_Scenario="bear",AG104,"N/A")))</f>
        <v>0.1</v>
      </c>
      <c r="AH101" s="8"/>
      <c r="AI101" s="8"/>
    </row>
    <row r="102" ht="12.75" customHeight="1" spans="1:35" x14ac:dyDescent="0.25">
      <c r="A102" s="8"/>
      <c r="B102" s="8"/>
      <c r="C102" s="130" t="s">
        <v>249</v>
      </c>
      <c r="D102" s="8"/>
      <c r="E102" s="8"/>
      <c r="F102" s="394"/>
      <c r="G102" s="394"/>
      <c r="H102" s="394"/>
      <c r="I102" s="394"/>
      <c r="J102" s="395"/>
      <c r="K102" s="394"/>
      <c r="L102" s="394"/>
      <c r="M102" s="394"/>
      <c r="N102" s="394"/>
      <c r="O102" s="395"/>
      <c r="P102" s="394"/>
      <c r="Q102" s="394"/>
      <c r="R102" s="394"/>
      <c r="S102" s="394"/>
      <c r="T102" s="395"/>
      <c r="U102" s="314">
        <f>U103+0.5%</f>
        <v>0.10500000000000001</v>
      </c>
      <c r="V102" s="314">
        <f>V103+0.5%</f>
        <v>0.10500000000000001</v>
      </c>
      <c r="W102" s="314">
        <f>W103+0.5%</f>
        <v>0.10500000000000001</v>
      </c>
      <c r="X102" s="314">
        <f>X103+0.5%</f>
        <v>0.005</v>
      </c>
      <c r="Y102" s="395"/>
      <c r="Z102" s="314">
        <f>Z103+0.5%</f>
        <v>0.10500000000000001</v>
      </c>
      <c r="AA102" s="314">
        <f>AA103+0.5%</f>
        <v>0.10500000000000001</v>
      </c>
      <c r="AB102" s="314">
        <f>AB103+0.5%</f>
        <v>0.10500000000000001</v>
      </c>
      <c r="AC102" s="314">
        <f>AC103+0.5%</f>
        <v>0.10500000000000001</v>
      </c>
      <c r="AD102" s="395"/>
      <c r="AE102" s="314">
        <f>AE103+0.5%</f>
        <v>0.10500000000000001</v>
      </c>
      <c r="AF102" s="314">
        <f>AF103+0.5%</f>
        <v>0.10500000000000001</v>
      </c>
      <c r="AG102" s="314">
        <f>AG103+0.5%</f>
        <v>0.10500000000000001</v>
      </c>
      <c r="AH102" s="8"/>
      <c r="AI102" s="8"/>
    </row>
    <row r="103" ht="12.75" customHeight="1" spans="1:35" x14ac:dyDescent="0.25">
      <c r="A103" s="8"/>
      <c r="B103" s="8"/>
      <c r="C103" s="130" t="s">
        <v>250</v>
      </c>
      <c r="D103" s="8"/>
      <c r="E103" s="8"/>
      <c r="F103" s="394"/>
      <c r="G103" s="394"/>
      <c r="H103" s="394"/>
      <c r="I103" s="394"/>
      <c r="J103" s="395"/>
      <c r="K103" s="394"/>
      <c r="L103" s="394"/>
      <c r="M103" s="394"/>
      <c r="N103" s="394"/>
      <c r="O103" s="395"/>
      <c r="P103" s="394"/>
      <c r="Q103" s="394"/>
      <c r="R103" s="394"/>
      <c r="S103" s="394"/>
      <c r="T103" s="395"/>
      <c r="U103" s="314">
        <v>0.1</v>
      </c>
      <c r="V103" s="314">
        <v>0.1</v>
      </c>
      <c r="W103" s="314">
        <v>0.1</v>
      </c>
      <c r="X103" s="314">
        <v>0</v>
      </c>
      <c r="Y103" s="395"/>
      <c r="Z103" s="314">
        <v>0.1</v>
      </c>
      <c r="AA103" s="314">
        <v>0.1</v>
      </c>
      <c r="AB103" s="314">
        <v>0.1</v>
      </c>
      <c r="AC103" s="314">
        <v>0.1</v>
      </c>
      <c r="AD103" s="395"/>
      <c r="AE103" s="314">
        <v>0.1</v>
      </c>
      <c r="AF103" s="314">
        <v>0.1</v>
      </c>
      <c r="AG103" s="314">
        <v>0.1</v>
      </c>
      <c r="AH103" s="8"/>
      <c r="AI103" s="8"/>
    </row>
    <row r="104" ht="12.75" customHeight="1" spans="1:35" x14ac:dyDescent="0.25">
      <c r="A104" s="8"/>
      <c r="B104" s="8"/>
      <c r="C104" s="130" t="s">
        <v>251</v>
      </c>
      <c r="D104" s="8"/>
      <c r="E104" s="8"/>
      <c r="F104" s="394"/>
      <c r="G104" s="394"/>
      <c r="H104" s="394"/>
      <c r="I104" s="394"/>
      <c r="J104" s="395"/>
      <c r="K104" s="394"/>
      <c r="L104" s="394"/>
      <c r="M104" s="394"/>
      <c r="N104" s="394"/>
      <c r="O104" s="395"/>
      <c r="P104" s="394"/>
      <c r="Q104" s="394"/>
      <c r="R104" s="394"/>
      <c r="S104" s="394"/>
      <c r="T104" s="395"/>
      <c r="U104" s="314">
        <f>U103-0.5%</f>
        <v>0.095</v>
      </c>
      <c r="V104" s="314">
        <f>V103-0.5%</f>
        <v>0.095</v>
      </c>
      <c r="W104" s="314">
        <f>W103-0.5%</f>
        <v>0.095</v>
      </c>
      <c r="X104" s="314">
        <f>X103-0.5%</f>
        <v>-0.005</v>
      </c>
      <c r="Y104" s="395"/>
      <c r="Z104" s="314">
        <f>Z103-0.5%</f>
        <v>0.095</v>
      </c>
      <c r="AA104" s="314">
        <f>AA103-0.5%</f>
        <v>0.095</v>
      </c>
      <c r="AB104" s="314">
        <f>AB103-0.5%</f>
        <v>0.095</v>
      </c>
      <c r="AC104" s="314">
        <f>AC103-0.5%</f>
        <v>0.095</v>
      </c>
      <c r="AD104" s="395"/>
      <c r="AE104" s="314">
        <f>AE103-0.5%</f>
        <v>0.095</v>
      </c>
      <c r="AF104" s="314">
        <f>AF103-0.5%</f>
        <v>0.095</v>
      </c>
      <c r="AG104" s="314">
        <f>AG103-0.5%</f>
        <v>0.095</v>
      </c>
      <c r="AH104" s="8"/>
      <c r="AI104" s="8"/>
    </row>
    <row r="105" ht="12.75" customHeight="1" spans="1:35" x14ac:dyDescent="0.25">
      <c r="A105" s="8"/>
      <c r="B105" s="8"/>
      <c r="C105" s="8"/>
      <c r="D105" s="8"/>
      <c r="E105" s="8"/>
      <c r="F105" s="394"/>
      <c r="G105" s="394"/>
      <c r="H105" s="394"/>
      <c r="I105" s="394"/>
      <c r="J105" s="395"/>
      <c r="K105" s="394"/>
      <c r="L105" s="394"/>
      <c r="M105" s="394"/>
      <c r="N105" s="394"/>
      <c r="O105" s="395"/>
      <c r="P105" s="394"/>
      <c r="Q105" s="394"/>
      <c r="R105" s="394"/>
      <c r="S105" s="394"/>
      <c r="T105" s="395"/>
      <c r="U105" s="314"/>
      <c r="V105" s="314"/>
      <c r="W105" s="314"/>
      <c r="X105" s="314"/>
      <c r="Y105" s="395"/>
      <c r="Z105" s="314"/>
      <c r="AA105" s="314"/>
      <c r="AB105" s="314"/>
      <c r="AC105" s="314"/>
      <c r="AD105" s="395"/>
      <c r="AE105" s="314"/>
      <c r="AF105" s="314"/>
      <c r="AG105" s="314"/>
      <c r="AH105" s="8"/>
      <c r="AI105" s="8"/>
    </row>
    <row r="106" ht="12.75" customHeight="1" spans="1:35" x14ac:dyDescent="0.25">
      <c r="A106" s="8"/>
      <c r="B106" s="8"/>
      <c r="C106" s="8" t="str">
        <f>Model!C97</f>
        <v>Change in Noncontrolling Interests</v>
      </c>
      <c r="D106" s="8"/>
      <c r="E106" s="8"/>
      <c r="F106" s="320">
        <f>Model!F97</f>
        <v>0</v>
      </c>
      <c r="G106" s="320">
        <f>Model!G97</f>
        <v>0</v>
      </c>
      <c r="H106" s="320">
        <f>Model!H97</f>
        <v>0</v>
      </c>
      <c r="I106" s="320">
        <f>Model!I97</f>
        <v>0</v>
      </c>
      <c r="J106" s="321">
        <f>Model!J97</f>
        <v>0</v>
      </c>
      <c r="K106" s="320">
        <f>Model!K97</f>
        <v>0</v>
      </c>
      <c r="L106" s="320">
        <f>Model!L97</f>
        <v>0</v>
      </c>
      <c r="M106" s="320">
        <f>Model!M97</f>
        <v>0</v>
      </c>
      <c r="N106" s="320">
        <f>Model!N97</f>
        <v>0</v>
      </c>
      <c r="O106" s="321">
        <f>Model!O97</f>
        <v>0</v>
      </c>
      <c r="P106" s="320">
        <f>Model!P97</f>
        <v>0</v>
      </c>
      <c r="Q106" s="320">
        <f>Model!Q97</f>
        <v>0</v>
      </c>
      <c r="R106" s="320">
        <f>Model!R97</f>
        <v>0</v>
      </c>
      <c r="S106" s="320">
        <f>Model!S97</f>
        <v>0</v>
      </c>
      <c r="T106" s="321">
        <f>Model!T97</f>
        <v>0</v>
      </c>
      <c r="U106" s="545">
        <v>0</v>
      </c>
      <c r="V106" s="545">
        <v>0</v>
      </c>
      <c r="W106" s="545">
        <v>0</v>
      </c>
      <c r="X106" s="545">
        <v>0</v>
      </c>
      <c r="Y106" s="321">
        <f>Model!Y97</f>
        <v>0</v>
      </c>
      <c r="Z106" s="545">
        <v>0</v>
      </c>
      <c r="AA106" s="545">
        <v>0</v>
      </c>
      <c r="AB106" s="545">
        <v>0</v>
      </c>
      <c r="AC106" s="545">
        <v>0</v>
      </c>
      <c r="AD106" s="321">
        <f>Model!AD97</f>
        <v>0</v>
      </c>
      <c r="AE106" s="545">
        <v>0</v>
      </c>
      <c r="AF106" s="545">
        <v>0</v>
      </c>
      <c r="AG106" s="545">
        <v>0</v>
      </c>
      <c r="AH106" s="8"/>
      <c r="AI106" s="8"/>
    </row>
    <row r="107" ht="12.75" customHeight="1" spans="1:35" x14ac:dyDescent="0.25">
      <c r="A107" s="257" t="s">
        <v>3</v>
      </c>
      <c r="B107" s="8"/>
      <c r="C107" s="8"/>
      <c r="D107" s="8"/>
      <c r="E107" s="8"/>
      <c r="F107" s="394"/>
      <c r="G107" s="394"/>
      <c r="H107" s="394"/>
      <c r="I107" s="394"/>
      <c r="J107" s="395"/>
      <c r="K107" s="394"/>
      <c r="L107" s="394"/>
      <c r="M107" s="394"/>
      <c r="N107" s="394"/>
      <c r="O107" s="395"/>
      <c r="P107" s="394"/>
      <c r="Q107" s="394"/>
      <c r="R107" s="394"/>
      <c r="S107" s="394"/>
      <c r="T107" s="395"/>
      <c r="U107" s="314"/>
      <c r="V107" s="314"/>
      <c r="W107" s="314"/>
      <c r="X107" s="314"/>
      <c r="Y107" s="395"/>
      <c r="Z107" s="314"/>
      <c r="AA107" s="314"/>
      <c r="AB107" s="314"/>
      <c r="AC107" s="314"/>
      <c r="AD107" s="395"/>
      <c r="AE107" s="314"/>
      <c r="AF107" s="314"/>
      <c r="AG107" s="314"/>
      <c r="AH107" s="257" t="s">
        <v>3</v>
      </c>
      <c r="AI107" s="257"/>
    </row>
    <row r="108" ht="12.75" customHeight="1" spans="1:35" x14ac:dyDescent="0.25">
      <c r="A108" s="8"/>
      <c r="B108" s="8"/>
      <c r="C108" s="8" t="str">
        <f>Model!C100</f>
        <v>Effect of FX Rate Changes on Cash</v>
      </c>
      <c r="D108" s="8"/>
      <c r="E108" s="8"/>
      <c r="F108" s="320">
        <f>Model!F100</f>
        <v>0</v>
      </c>
      <c r="G108" s="320">
        <f>Model!G100</f>
        <v>0</v>
      </c>
      <c r="H108" s="320">
        <f>Model!H100</f>
        <v>0</v>
      </c>
      <c r="I108" s="320">
        <f>Model!I100</f>
        <v>0</v>
      </c>
      <c r="J108" s="321">
        <f>Model!J100</f>
        <v>0</v>
      </c>
      <c r="K108" s="320">
        <f>Model!K100</f>
        <v>0</v>
      </c>
      <c r="L108" s="320">
        <f>Model!L100</f>
        <v>0</v>
      </c>
      <c r="M108" s="320">
        <f>Model!M100</f>
        <v>0</v>
      </c>
      <c r="N108" s="320">
        <f>Model!N100</f>
        <v>0</v>
      </c>
      <c r="O108" s="321">
        <f>Model!O100</f>
        <v>0</v>
      </c>
      <c r="P108" s="320">
        <f>Model!P100</f>
        <v>0</v>
      </c>
      <c r="Q108" s="320">
        <f>Model!Q100</f>
        <v>0</v>
      </c>
      <c r="R108" s="320">
        <f>Model!R100</f>
        <v>0</v>
      </c>
      <c r="S108" s="320">
        <f>Model!S100</f>
        <v>0</v>
      </c>
      <c r="T108" s="321">
        <f>Model!T100</f>
        <v>0</v>
      </c>
      <c r="U108" s="545">
        <v>0</v>
      </c>
      <c r="V108" s="545">
        <v>0</v>
      </c>
      <c r="W108" s="545">
        <v>0</v>
      </c>
      <c r="X108" s="545">
        <v>0</v>
      </c>
      <c r="Y108" s="321">
        <f>Model!Y100</f>
        <v>0</v>
      </c>
      <c r="Z108" s="545">
        <v>0</v>
      </c>
      <c r="AA108" s="545">
        <v>0</v>
      </c>
      <c r="AB108" s="545">
        <v>0</v>
      </c>
      <c r="AC108" s="545">
        <v>0</v>
      </c>
      <c r="AD108" s="321">
        <f>Model!AD100</f>
        <v>0</v>
      </c>
      <c r="AE108" s="545">
        <v>0</v>
      </c>
      <c r="AF108" s="545">
        <v>0</v>
      </c>
      <c r="AG108" s="545">
        <v>0</v>
      </c>
      <c r="AH108" s="8"/>
      <c r="AI108" s="8"/>
    </row>
    <row r="109" ht="12.75" customHeight="1" spans="1:35" x14ac:dyDescent="0.25">
      <c r="A109" s="8"/>
      <c r="B109" s="8"/>
      <c r="C109" s="8"/>
      <c r="D109" s="8"/>
      <c r="E109" s="8"/>
      <c r="F109" s="394"/>
      <c r="G109" s="394"/>
      <c r="H109" s="394"/>
      <c r="I109" s="394"/>
      <c r="J109" s="395"/>
      <c r="K109" s="394"/>
      <c r="L109" s="394"/>
      <c r="M109" s="394"/>
      <c r="N109" s="394"/>
      <c r="O109" s="395"/>
      <c r="P109" s="394"/>
      <c r="Q109" s="394"/>
      <c r="R109" s="394"/>
      <c r="S109" s="394"/>
      <c r="T109" s="395"/>
      <c r="U109" s="314"/>
      <c r="V109" s="314"/>
      <c r="W109" s="314"/>
      <c r="X109" s="314"/>
      <c r="Y109" s="395"/>
      <c r="Z109" s="314"/>
      <c r="AA109" s="314"/>
      <c r="AB109" s="314"/>
      <c r="AC109" s="314"/>
      <c r="AD109" s="395"/>
      <c r="AE109" s="314"/>
      <c r="AF109" s="314"/>
      <c r="AG109" s="314"/>
      <c r="AH109" s="8"/>
      <c r="AI109" s="8"/>
    </row>
    <row r="110" ht="12.75" customHeight="1" spans="1:35" x14ac:dyDescent="0.25">
      <c r="A110" s="8"/>
      <c r="B110" s="8"/>
      <c r="C110" s="345" t="s">
        <v>488</v>
      </c>
      <c r="D110" s="390"/>
      <c r="E110" s="390"/>
      <c r="F110" s="346" t="str">
        <f>Model!F$25</f>
        <v>1Q23</v>
      </c>
      <c r="G110" s="186" t="str">
        <f>Model!G$25</f>
        <v>2Q23</v>
      </c>
      <c r="H110" s="186" t="str">
        <f>Model!H$25</f>
        <v>3Q23</v>
      </c>
      <c r="I110" s="186" t="str">
        <f>Model!I$25</f>
        <v>4Q23</v>
      </c>
      <c r="J110" s="186">
        <f>Model!J$25</f>
        <v>2023</v>
      </c>
      <c r="K110" s="186" t="str">
        <f>Model!K$25</f>
        <v>1Q24</v>
      </c>
      <c r="L110" s="186" t="str">
        <f>Model!L$25</f>
        <v>2Q24</v>
      </c>
      <c r="M110" s="186" t="str">
        <f>Model!M$25</f>
        <v>3Q24</v>
      </c>
      <c r="N110" s="186" t="str">
        <f>Model!N$25</f>
        <v>4Q24</v>
      </c>
      <c r="O110" s="186">
        <f>Model!O$25</f>
        <v>2024</v>
      </c>
      <c r="P110" s="186" t="str">
        <f>Model!P$25</f>
        <v>1Q25</v>
      </c>
      <c r="Q110" s="186" t="str">
        <f>Model!Q$25</f>
        <v>2Q25</v>
      </c>
      <c r="R110" s="186" t="str">
        <f>Model!R$25</f>
        <v>3Q25</v>
      </c>
      <c r="S110" s="186" t="str">
        <f>Model!S$25</f>
        <v>4Q25</v>
      </c>
      <c r="T110" s="186">
        <f>Model!T$25</f>
        <v>2025</v>
      </c>
      <c r="U110" s="186" t="str">
        <f>Model!U$25</f>
        <v>1Q26e</v>
      </c>
      <c r="V110" s="186" t="str">
        <f>Model!V$25</f>
        <v>2Q26e</v>
      </c>
      <c r="W110" s="186" t="str">
        <f>Model!W$25</f>
        <v>3Q26</v>
      </c>
      <c r="X110" s="186" t="str">
        <f>Model!X$25</f>
        <v>4Q26e</v>
      </c>
      <c r="Y110" s="186" t="str">
        <f>Model!Y$25</f>
        <v>2026e</v>
      </c>
      <c r="Z110" s="186" t="str">
        <f>Model!Z$25</f>
        <v>1Q27e</v>
      </c>
      <c r="AA110" s="186" t="str">
        <f>Model!AA$25</f>
        <v>2Q27e</v>
      </c>
      <c r="AB110" s="186" t="str">
        <f>Model!AB$25</f>
        <v>3Q27e</v>
      </c>
      <c r="AC110" s="186" t="str">
        <f>Model!AC$25</f>
        <v>4Q27e</v>
      </c>
      <c r="AD110" s="186" t="str">
        <f>Model!AD$25</f>
        <v>2027e</v>
      </c>
      <c r="AE110" s="186" t="str">
        <f>Model!AE$25</f>
        <v>2028e</v>
      </c>
      <c r="AF110" s="186" t="str">
        <f>Model!AF$25</f>
        <v>2029e</v>
      </c>
      <c r="AG110" s="347" t="str">
        <f>Model!AG$25</f>
        <v>2030e</v>
      </c>
      <c r="AH110" s="8"/>
      <c r="AI110" s="8"/>
    </row>
    <row r="111" ht="12.75" customHeight="1" spans="1:35" x14ac:dyDescent="0.25">
      <c r="A111" s="8"/>
      <c r="B111" s="8"/>
      <c r="C111" s="535" t="s">
        <v>489</v>
      </c>
      <c r="D111" s="536"/>
      <c r="E111" s="536"/>
      <c r="F111" s="546"/>
      <c r="G111" s="547"/>
      <c r="H111" s="547"/>
      <c r="I111" s="547"/>
      <c r="J111" s="547"/>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8"/>
      <c r="AH111" s="8"/>
      <c r="AI111" s="8"/>
    </row>
    <row r="112" ht="12.75" customHeight="1" spans="1:35" x14ac:dyDescent="0.25">
      <c r="A112" s="8"/>
      <c r="B112" s="8"/>
      <c r="C112" s="8"/>
      <c r="D112" s="8"/>
      <c r="E112" s="8"/>
      <c r="F112" s="394"/>
      <c r="G112" s="394"/>
      <c r="H112" s="394"/>
      <c r="I112" s="394"/>
      <c r="J112" s="395"/>
      <c r="K112" s="394"/>
      <c r="L112" s="394"/>
      <c r="M112" s="394"/>
      <c r="N112" s="394"/>
      <c r="O112" s="395"/>
      <c r="P112" s="394"/>
      <c r="Q112" s="394"/>
      <c r="R112" s="394"/>
      <c r="S112" s="394"/>
      <c r="T112" s="395"/>
      <c r="U112" s="395"/>
      <c r="V112" s="395"/>
      <c r="W112" s="395"/>
      <c r="X112" s="395"/>
      <c r="Y112" s="395"/>
      <c r="Z112" s="395"/>
      <c r="AA112" s="395"/>
      <c r="AB112" s="395"/>
      <c r="AC112" s="395"/>
      <c r="AD112" s="395"/>
      <c r="AE112" s="160"/>
      <c r="AF112" s="160"/>
      <c r="AG112" s="160"/>
      <c r="AH112" s="8"/>
      <c r="AI112" s="8"/>
    </row>
    <row r="113" ht="12.75" customHeight="1" spans="1:35" x14ac:dyDescent="0.25">
      <c r="A113" s="8"/>
      <c r="B113" s="8" t="s">
        <v>3</v>
      </c>
      <c r="C113" s="8" t="str">
        <f>Model!C185</f>
        <v>Days Sales Outstanding</v>
      </c>
      <c r="D113" s="8"/>
      <c r="E113" s="8"/>
      <c r="F113" s="394"/>
      <c r="G113" s="320">
        <f>Model!G185</f>
        <v>0</v>
      </c>
      <c r="H113" s="320">
        <f>Model!H185</f>
        <v>0</v>
      </c>
      <c r="I113" s="320">
        <f>Model!I185</f>
        <v>0</v>
      </c>
      <c r="J113" s="321">
        <f>Model!J185</f>
        <v>0</v>
      </c>
      <c r="K113" s="320">
        <f>Model!K185</f>
        <v>0</v>
      </c>
      <c r="L113" s="320">
        <f>Model!L185</f>
        <v>0</v>
      </c>
      <c r="M113" s="320">
        <f>Model!M185</f>
        <v>0</v>
      </c>
      <c r="N113" s="320">
        <f>Model!N185</f>
        <v>0</v>
      </c>
      <c r="O113" s="321">
        <f>Model!O185</f>
        <v>0</v>
      </c>
      <c r="P113" s="320">
        <f>Model!P185</f>
        <v>0</v>
      </c>
      <c r="Q113" s="320">
        <f>Model!Q185</f>
        <v>0</v>
      </c>
      <c r="R113" s="320">
        <f>Model!R185</f>
        <v>0</v>
      </c>
      <c r="S113" s="320">
        <f>Model!S185</f>
        <v>0</v>
      </c>
      <c r="T113" s="321">
        <f>Model!T185</f>
        <v>0</v>
      </c>
      <c r="U113" s="321">
        <f>IF(Case_Scenario="Bull",U114,IF(Case_Scenario="Base",U115,IF(Case_Scenario="bear",U116,"N/A")))</f>
        <v>41.5</v>
      </c>
      <c r="V113" s="321">
        <f>IF(Case_Scenario="Bull",V114,IF(Case_Scenario="Base",V115,IF(Case_Scenario="bear",V116,"N/A")))</f>
        <v>40.4</v>
      </c>
      <c r="W113" s="321">
        <f>IF(Case_Scenario="Bull",W114,IF(Case_Scenario="Base",W115,IF(Case_Scenario="bear",W116,"N/A")))</f>
        <v>41</v>
      </c>
      <c r="X113" s="321">
        <f>IF(Case_Scenario="Bull",X114,IF(Case_Scenario="Base",X115,IF(Case_Scenario="bear",X116,"N/A")))</f>
        <v>41.8</v>
      </c>
      <c r="Y113" s="321">
        <f>Model!Y185</f>
        <v>21.228705529463138</v>
      </c>
      <c r="Z113" s="321">
        <f>IF(Case_Scenario="Bull",Z114,IF(Case_Scenario="Base",Z115,IF(Case_Scenario="bear",Z116,"N/A")))</f>
        <v>41.2</v>
      </c>
      <c r="AA113" s="321">
        <f>IF(Case_Scenario="Bull",AA114,IF(Case_Scenario="Base",AA115,IF(Case_Scenario="bear",AA116,"N/A")))</f>
        <v>40.2</v>
      </c>
      <c r="AB113" s="321">
        <f>IF(Case_Scenario="Bull",AB114,IF(Case_Scenario="Base",AB115,IF(Case_Scenario="bear",AB116,"N/A")))</f>
        <v>40.8</v>
      </c>
      <c r="AC113" s="321">
        <f>IF(Case_Scenario="Bull",AC114,IF(Case_Scenario="Base",AC115,IF(Case_Scenario="bear",AC116,"N/A")))</f>
        <v>41.3</v>
      </c>
      <c r="AD113" s="321">
        <f>Model!AD185</f>
        <v>41.02031067985213</v>
      </c>
      <c r="AE113" s="321">
        <f>IF(Case_Scenario="Bull",AE114,IF(Case_Scenario="Base",AE115,IF(Case_Scenario="bear",AE116,"N/A")))</f>
        <v>41.6</v>
      </c>
      <c r="AF113" s="321">
        <f>IF(Case_Scenario="Bull",AF114,IF(Case_Scenario="Base",AF115,IF(Case_Scenario="bear",AF116,"N/A")))</f>
        <v>41</v>
      </c>
      <c r="AG113" s="321">
        <f>IF(Case_Scenario="Bull",AG114,IF(Case_Scenario="Base",AG115,IF(Case_Scenario="bear",AG116,"N/A")))</f>
        <v>41</v>
      </c>
      <c r="AH113" s="8"/>
      <c r="AI113" s="8"/>
    </row>
    <row r="114" ht="12.75" customHeight="1" spans="1:35" x14ac:dyDescent="0.25">
      <c r="A114" s="8"/>
      <c r="B114" s="8"/>
      <c r="C114" s="130" t="s">
        <v>249</v>
      </c>
      <c r="D114" s="8"/>
      <c r="E114" s="8"/>
      <c r="F114" s="394"/>
      <c r="G114" s="394"/>
      <c r="H114" s="394"/>
      <c r="I114" s="394"/>
      <c r="J114" s="395"/>
      <c r="K114" s="394"/>
      <c r="L114" s="394"/>
      <c r="M114" s="394"/>
      <c r="N114" s="394"/>
      <c r="O114" s="395"/>
      <c r="P114" s="394"/>
      <c r="Q114" s="394"/>
      <c r="R114" s="394"/>
      <c r="S114" s="394"/>
      <c r="T114" s="395"/>
      <c r="U114" s="550">
        <f>U115-5</f>
        <v>36.5</v>
      </c>
      <c r="V114" s="550">
        <f>V115-5</f>
        <v>35.4</v>
      </c>
      <c r="W114" s="550">
        <f>W115-5</f>
        <v>36</v>
      </c>
      <c r="X114" s="550">
        <f>X115-2</f>
        <v>39.8</v>
      </c>
      <c r="Y114" s="395"/>
      <c r="Z114" s="550">
        <f>Z115-5</f>
        <v>36.2</v>
      </c>
      <c r="AA114" s="550">
        <f>AA115-5</f>
        <v>35.2</v>
      </c>
      <c r="AB114" s="550">
        <f>AB115-5</f>
        <v>35.8</v>
      </c>
      <c r="AC114" s="550">
        <f>AC115-5</f>
        <v>36.3</v>
      </c>
      <c r="AD114" s="395"/>
      <c r="AE114" s="550">
        <f>AE115-5</f>
        <v>36.6</v>
      </c>
      <c r="AF114" s="550">
        <f>AF115-5</f>
        <v>36</v>
      </c>
      <c r="AG114" s="550">
        <f>AG115-5</f>
        <v>36</v>
      </c>
      <c r="AH114" s="8"/>
      <c r="AI114" s="8"/>
    </row>
    <row r="115" ht="12.75" customHeight="1" spans="1:35" x14ac:dyDescent="0.25">
      <c r="A115" s="8"/>
      <c r="B115" s="8"/>
      <c r="C115" s="130" t="s">
        <v>250</v>
      </c>
      <c r="D115" s="8"/>
      <c r="E115" s="8"/>
      <c r="F115" s="394"/>
      <c r="G115" s="394"/>
      <c r="H115" s="394"/>
      <c r="I115" s="394"/>
      <c r="J115" s="395"/>
      <c r="K115" s="394"/>
      <c r="L115" s="394"/>
      <c r="M115" s="394"/>
      <c r="N115" s="394"/>
      <c r="O115" s="395"/>
      <c r="P115" s="394"/>
      <c r="Q115" s="394"/>
      <c r="R115" s="394"/>
      <c r="S115" s="394"/>
      <c r="T115" s="395"/>
      <c r="U115" s="550">
        <v>41.5</v>
      </c>
      <c r="V115" s="550">
        <v>40.4</v>
      </c>
      <c r="W115" s="550">
        <v>41</v>
      </c>
      <c r="X115" s="550">
        <v>41.8</v>
      </c>
      <c r="Y115" s="395"/>
      <c r="Z115" s="550">
        <v>41.2</v>
      </c>
      <c r="AA115" s="550">
        <v>40.2</v>
      </c>
      <c r="AB115" s="550">
        <v>40.8</v>
      </c>
      <c r="AC115" s="550">
        <v>41.3</v>
      </c>
      <c r="AD115" s="395"/>
      <c r="AE115" s="550">
        <v>41.6</v>
      </c>
      <c r="AF115" s="550">
        <v>41</v>
      </c>
      <c r="AG115" s="550">
        <v>41</v>
      </c>
      <c r="AH115" s="8"/>
      <c r="AI115" s="8"/>
    </row>
    <row r="116" ht="12.75" customHeight="1" spans="1:35" x14ac:dyDescent="0.25">
      <c r="A116" s="8"/>
      <c r="B116" s="8"/>
      <c r="C116" s="130" t="s">
        <v>251</v>
      </c>
      <c r="D116" s="8"/>
      <c r="E116" s="8"/>
      <c r="F116" s="394"/>
      <c r="G116" s="394"/>
      <c r="H116" s="394"/>
      <c r="I116" s="394"/>
      <c r="J116" s="395"/>
      <c r="K116" s="394"/>
      <c r="L116" s="394"/>
      <c r="M116" s="394"/>
      <c r="N116" s="394"/>
      <c r="O116" s="395"/>
      <c r="P116" s="394"/>
      <c r="Q116" s="394"/>
      <c r="R116" s="394"/>
      <c r="S116" s="394"/>
      <c r="T116" s="395"/>
      <c r="U116" s="550">
        <f>U115+5</f>
        <v>46.5</v>
      </c>
      <c r="V116" s="550">
        <f>V115+5</f>
        <v>45.4</v>
      </c>
      <c r="W116" s="550">
        <f>W115+5</f>
        <v>46</v>
      </c>
      <c r="X116" s="550">
        <f>X115+2</f>
        <v>43.8</v>
      </c>
      <c r="Y116" s="395"/>
      <c r="Z116" s="550">
        <f>Z115+5</f>
        <v>46.2</v>
      </c>
      <c r="AA116" s="550">
        <f>AA115+5</f>
        <v>45.2</v>
      </c>
      <c r="AB116" s="550">
        <f>AB115+5</f>
        <v>45.8</v>
      </c>
      <c r="AC116" s="550">
        <f>AC115+5</f>
        <v>46.3</v>
      </c>
      <c r="AD116" s="395"/>
      <c r="AE116" s="550">
        <f>AE115+5</f>
        <v>46.6</v>
      </c>
      <c r="AF116" s="550">
        <f>AF115+5</f>
        <v>46</v>
      </c>
      <c r="AG116" s="550">
        <f>AG115+5</f>
        <v>46</v>
      </c>
      <c r="AH116" s="8"/>
      <c r="AI116" s="8"/>
    </row>
    <row r="117" ht="12.75" customHeight="1" spans="1:35" x14ac:dyDescent="0.25">
      <c r="A117" s="8"/>
      <c r="B117" s="8"/>
      <c r="C117" s="8"/>
      <c r="D117" s="8"/>
      <c r="E117" s="8"/>
      <c r="F117" s="394"/>
      <c r="G117" s="394"/>
      <c r="H117" s="394"/>
      <c r="I117" s="394"/>
      <c r="J117" s="395"/>
      <c r="K117" s="394"/>
      <c r="L117" s="394"/>
      <c r="M117" s="394"/>
      <c r="N117" s="394"/>
      <c r="O117" s="395"/>
      <c r="P117" s="394"/>
      <c r="Q117" s="394"/>
      <c r="R117" s="394"/>
      <c r="S117" s="394"/>
      <c r="T117" s="395"/>
      <c r="U117" s="314"/>
      <c r="V117" s="314"/>
      <c r="W117" s="314"/>
      <c r="X117" s="314"/>
      <c r="Y117" s="395"/>
      <c r="Z117" s="314"/>
      <c r="AA117" s="314"/>
      <c r="AB117" s="314"/>
      <c r="AC117" s="314"/>
      <c r="AD117" s="395"/>
      <c r="AE117" s="314"/>
      <c r="AF117" s="314"/>
      <c r="AG117" s="314"/>
      <c r="AH117" s="8"/>
      <c r="AI117" s="8"/>
    </row>
    <row r="118" ht="12.75" customHeight="1" spans="1:35" x14ac:dyDescent="0.25">
      <c r="A118" s="8"/>
      <c r="B118" s="8" t="s">
        <v>3</v>
      </c>
      <c r="C118" s="8" t="str">
        <f>Model!C186</f>
        <v>Days Inventory Outstanding</v>
      </c>
      <c r="D118" s="8"/>
      <c r="E118" s="8"/>
      <c r="F118" s="394"/>
      <c r="G118" s="320" t="e">
        <f>Model!G186</f>
        <v>#DIV/0!</v>
      </c>
      <c r="H118" s="320" t="e">
        <f>Model!H186</f>
        <v>#DIV/0!</v>
      </c>
      <c r="I118" s="320" t="e">
        <f>Model!I186</f>
        <v>#DIV/0!</v>
      </c>
      <c r="J118" s="321" t="e">
        <f>Model!J186</f>
        <v>#DIV/0!</v>
      </c>
      <c r="K118" s="320" t="e">
        <f>Model!K186</f>
        <v>#DIV/0!</v>
      </c>
      <c r="L118" s="320" t="e">
        <f>Model!L186</f>
        <v>#DIV/0!</v>
      </c>
      <c r="M118" s="320" t="e">
        <f>Model!M186</f>
        <v>#DIV/0!</v>
      </c>
      <c r="N118" s="320" t="e">
        <f>Model!N186</f>
        <v>#DIV/0!</v>
      </c>
      <c r="O118" s="321" t="e">
        <f>Model!O186</f>
        <v>#DIV/0!</v>
      </c>
      <c r="P118" s="320" t="e">
        <f>Model!P186</f>
        <v>#DIV/0!</v>
      </c>
      <c r="Q118" s="320" t="e">
        <f>Model!Q186</f>
        <v>#DIV/0!</v>
      </c>
      <c r="R118" s="320" t="e">
        <f>Model!R186</f>
        <v>#DIV/0!</v>
      </c>
      <c r="S118" s="320" t="e">
        <f>Model!S186</f>
        <v>#DIV/0!</v>
      </c>
      <c r="T118" s="321" t="e">
        <f>Model!T186</f>
        <v>#DIV/0!</v>
      </c>
      <c r="U118" s="321">
        <f>IF(Case_Scenario="Bull",U119,IF(Case_Scenario="Base",U120,IF(Case_Scenario="bear",U121,"N/A")))</f>
        <v>0</v>
      </c>
      <c r="V118" s="321">
        <f>IF(Case_Scenario="Bull",V119,IF(Case_Scenario="Base",V120,IF(Case_Scenario="bear",V121,"N/A")))</f>
        <v>0</v>
      </c>
      <c r="W118" s="321">
        <f>IF(Case_Scenario="Bull",W119,IF(Case_Scenario="Base",W120,IF(Case_Scenario="bear",W121,"N/A")))</f>
        <v>0</v>
      </c>
      <c r="X118" s="321">
        <f>IF(Case_Scenario="Bull",X119,IF(Case_Scenario="Base",X120,IF(Case_Scenario="bear",X121,"N/A")))</f>
        <v>0</v>
      </c>
      <c r="Y118" s="321">
        <f>Model!Y186</f>
        <v>0</v>
      </c>
      <c r="Z118" s="321">
        <f>IF(Case_Scenario="Bull",Z119,IF(Case_Scenario="Base",Z120,IF(Case_Scenario="bear",Z121,"N/A")))</f>
        <v>0</v>
      </c>
      <c r="AA118" s="321">
        <f>IF(Case_Scenario="Bull",AA119,IF(Case_Scenario="Base",AA120,IF(Case_Scenario="bear",AA121,"N/A")))</f>
        <v>0</v>
      </c>
      <c r="AB118" s="321">
        <f>IF(Case_Scenario="Bull",AB119,IF(Case_Scenario="Base",AB120,IF(Case_Scenario="bear",AB121,"N/A")))</f>
        <v>0</v>
      </c>
      <c r="AC118" s="321">
        <f>IF(Case_Scenario="Bull",AC119,IF(Case_Scenario="Base",AC120,IF(Case_Scenario="bear",AC121,"N/A")))</f>
        <v>0</v>
      </c>
      <c r="AD118" s="321">
        <f>Model!AD186</f>
        <v>0</v>
      </c>
      <c r="AE118" s="321">
        <f>IF(Case_Scenario="Bull",AE119,IF(Case_Scenario="Base",AE120,IF(Case_Scenario="bear",AE121,"N/A")))</f>
        <v>0</v>
      </c>
      <c r="AF118" s="321">
        <f>IF(Case_Scenario="Bull",AF119,IF(Case_Scenario="Base",AF120,IF(Case_Scenario="bear",AF121,"N/A")))</f>
        <v>0</v>
      </c>
      <c r="AG118" s="321">
        <f>IF(Case_Scenario="Bull",AG119,IF(Case_Scenario="Base",AG120,IF(Case_Scenario="bear",AG121,"N/A")))</f>
        <v>0</v>
      </c>
      <c r="AH118" s="8"/>
      <c r="AI118" s="8"/>
    </row>
    <row r="119" ht="12.75" customHeight="1" spans="1:35" x14ac:dyDescent="0.25">
      <c r="A119" s="8"/>
      <c r="B119" s="8"/>
      <c r="C119" s="130" t="s">
        <v>249</v>
      </c>
      <c r="D119" s="8"/>
      <c r="E119" s="8"/>
      <c r="F119" s="394"/>
      <c r="G119" s="394"/>
      <c r="H119" s="394"/>
      <c r="I119" s="394"/>
      <c r="J119" s="395"/>
      <c r="K119" s="394"/>
      <c r="L119" s="394"/>
      <c r="M119" s="394"/>
      <c r="N119" s="394"/>
      <c r="O119" s="395"/>
      <c r="P119" s="394"/>
      <c r="Q119" s="394"/>
      <c r="R119" s="394"/>
      <c r="S119" s="394"/>
      <c r="T119" s="395"/>
      <c r="U119" s="550">
        <v>0</v>
      </c>
      <c r="V119" s="550">
        <v>0</v>
      </c>
      <c r="W119" s="550">
        <v>0</v>
      </c>
      <c r="X119" s="550">
        <v>0</v>
      </c>
      <c r="Y119" s="395"/>
      <c r="Z119" s="550">
        <v>0</v>
      </c>
      <c r="AA119" s="550">
        <v>0</v>
      </c>
      <c r="AB119" s="550">
        <v>0</v>
      </c>
      <c r="AC119" s="550">
        <v>0</v>
      </c>
      <c r="AD119" s="395"/>
      <c r="AE119" s="550">
        <v>0</v>
      </c>
      <c r="AF119" s="550">
        <v>0</v>
      </c>
      <c r="AG119" s="550">
        <v>0</v>
      </c>
      <c r="AH119" s="8"/>
      <c r="AI119" s="8"/>
    </row>
    <row r="120" ht="12.75" customHeight="1" spans="1:35" x14ac:dyDescent="0.25">
      <c r="A120" s="8"/>
      <c r="B120" s="8"/>
      <c r="C120" s="130" t="s">
        <v>250</v>
      </c>
      <c r="D120" s="8"/>
      <c r="E120" s="8"/>
      <c r="F120" s="394"/>
      <c r="G120" s="394"/>
      <c r="H120" s="394"/>
      <c r="I120" s="394"/>
      <c r="J120" s="395"/>
      <c r="K120" s="394"/>
      <c r="L120" s="394"/>
      <c r="M120" s="394"/>
      <c r="N120" s="394"/>
      <c r="O120" s="395"/>
      <c r="P120" s="394"/>
      <c r="Q120" s="394"/>
      <c r="R120" s="394"/>
      <c r="S120" s="394"/>
      <c r="T120" s="395"/>
      <c r="U120" s="550">
        <v>0</v>
      </c>
      <c r="V120" s="550">
        <v>0</v>
      </c>
      <c r="W120" s="550">
        <v>0</v>
      </c>
      <c r="X120" s="550">
        <v>0</v>
      </c>
      <c r="Y120" s="395"/>
      <c r="Z120" s="550">
        <v>0</v>
      </c>
      <c r="AA120" s="550">
        <v>0</v>
      </c>
      <c r="AB120" s="550">
        <v>0</v>
      </c>
      <c r="AC120" s="550">
        <v>0</v>
      </c>
      <c r="AD120" s="395"/>
      <c r="AE120" s="550">
        <v>0</v>
      </c>
      <c r="AF120" s="550">
        <v>0</v>
      </c>
      <c r="AG120" s="550">
        <v>0</v>
      </c>
      <c r="AH120" s="8"/>
      <c r="AI120" s="8"/>
    </row>
    <row r="121" ht="12.75" customHeight="1" spans="1:35" x14ac:dyDescent="0.25">
      <c r="A121" s="8"/>
      <c r="B121" s="8"/>
      <c r="C121" s="130" t="s">
        <v>251</v>
      </c>
      <c r="D121" s="8"/>
      <c r="E121" s="8"/>
      <c r="F121" s="394"/>
      <c r="G121" s="394"/>
      <c r="H121" s="394"/>
      <c r="I121" s="394"/>
      <c r="J121" s="395"/>
      <c r="K121" s="394"/>
      <c r="L121" s="394"/>
      <c r="M121" s="394"/>
      <c r="N121" s="394"/>
      <c r="O121" s="395"/>
      <c r="P121" s="394"/>
      <c r="Q121" s="394"/>
      <c r="R121" s="394"/>
      <c r="S121" s="394"/>
      <c r="T121" s="395"/>
      <c r="U121" s="550">
        <v>0</v>
      </c>
      <c r="V121" s="550">
        <v>0</v>
      </c>
      <c r="W121" s="550">
        <v>0</v>
      </c>
      <c r="X121" s="550">
        <v>0</v>
      </c>
      <c r="Y121" s="395"/>
      <c r="Z121" s="550">
        <v>0</v>
      </c>
      <c r="AA121" s="550">
        <v>0</v>
      </c>
      <c r="AB121" s="550">
        <v>0</v>
      </c>
      <c r="AC121" s="550">
        <v>0</v>
      </c>
      <c r="AD121" s="395"/>
      <c r="AE121" s="550">
        <v>0</v>
      </c>
      <c r="AF121" s="550">
        <v>0</v>
      </c>
      <c r="AG121" s="550">
        <v>0</v>
      </c>
      <c r="AH121" s="8"/>
      <c r="AI121" s="8"/>
    </row>
    <row r="122" ht="12.75" customHeight="1" spans="1:35" x14ac:dyDescent="0.25">
      <c r="A122" s="8"/>
      <c r="B122" s="8"/>
      <c r="C122" s="8"/>
      <c r="D122" s="8"/>
      <c r="E122" s="8"/>
      <c r="F122" s="394"/>
      <c r="G122" s="394"/>
      <c r="H122" s="394"/>
      <c r="I122" s="394"/>
      <c r="J122" s="395"/>
      <c r="K122" s="394"/>
      <c r="L122" s="394"/>
      <c r="M122" s="394"/>
      <c r="N122" s="394"/>
      <c r="O122" s="395"/>
      <c r="P122" s="394"/>
      <c r="Q122" s="394"/>
      <c r="R122" s="394"/>
      <c r="S122" s="394"/>
      <c r="T122" s="395"/>
      <c r="U122" s="314"/>
      <c r="V122" s="314"/>
      <c r="W122" s="314"/>
      <c r="X122" s="314"/>
      <c r="Y122" s="395"/>
      <c r="Z122" s="314"/>
      <c r="AA122" s="314"/>
      <c r="AB122" s="314"/>
      <c r="AC122" s="314"/>
      <c r="AD122" s="395"/>
      <c r="AE122" s="314"/>
      <c r="AF122" s="314"/>
      <c r="AG122" s="314"/>
      <c r="AH122" s="8"/>
      <c r="AI122" s="8"/>
    </row>
    <row r="123" ht="12.75" customHeight="1" spans="1:35" x14ac:dyDescent="0.25">
      <c r="A123" s="8"/>
      <c r="B123" s="8" t="s">
        <v>3</v>
      </c>
      <c r="C123" s="8" t="str">
        <f>Model!C189</f>
        <v>Prepaid &amp; Other Current Assets as a % of Sales</v>
      </c>
      <c r="D123" s="8"/>
      <c r="E123" s="8"/>
      <c r="F123" s="394">
        <f>Model!F189</f>
        <v>0</v>
      </c>
      <c r="G123" s="394">
        <f>Model!G189</f>
        <v>0</v>
      </c>
      <c r="H123" s="394">
        <f>Model!H189</f>
        <v>0</v>
      </c>
      <c r="I123" s="394">
        <f>Model!I189</f>
        <v>0</v>
      </c>
      <c r="J123" s="395">
        <f>Model!J189</f>
        <v>0</v>
      </c>
      <c r="K123" s="394">
        <f>Model!K189</f>
        <v>0</v>
      </c>
      <c r="L123" s="394">
        <f>Model!L189</f>
        <v>0</v>
      </c>
      <c r="M123" s="394">
        <f>Model!M189</f>
        <v>0</v>
      </c>
      <c r="N123" s="394">
        <f>Model!N189</f>
        <v>0</v>
      </c>
      <c r="O123" s="395">
        <f>Model!O189</f>
        <v>0</v>
      </c>
      <c r="P123" s="394">
        <f>Model!P189</f>
        <v>0</v>
      </c>
      <c r="Q123" s="394">
        <f>Model!Q189</f>
        <v>0</v>
      </c>
      <c r="R123" s="394">
        <f>Model!R189</f>
        <v>0</v>
      </c>
      <c r="S123" s="394">
        <f>Model!S189</f>
        <v>0</v>
      </c>
      <c r="T123" s="395">
        <f>Model!T189</f>
        <v>0</v>
      </c>
      <c r="U123" s="395">
        <f>IF(Case_Scenario="Bull",U124,IF(Case_Scenario="Base",U125,IF(Case_Scenario="bear",U126,"N/A")))</f>
        <v>0.022</v>
      </c>
      <c r="V123" s="395">
        <f>IF(Case_Scenario="Bull",V124,IF(Case_Scenario="Base",V125,IF(Case_Scenario="bear",V126,"N/A")))</f>
        <v>0.022</v>
      </c>
      <c r="W123" s="395">
        <f>IF(Case_Scenario="Bull",W124,IF(Case_Scenario="Base",W125,IF(Case_Scenario="bear",W126,"N/A")))</f>
        <v>0.022</v>
      </c>
      <c r="X123" s="395">
        <f>IF(Case_Scenario="Bull",X124,IF(Case_Scenario="Base",X125,IF(Case_Scenario="bear",X126,"N/A")))</f>
        <v>0.026</v>
      </c>
      <c r="Y123" s="395">
        <f>Model!Y189</f>
        <v>0.026625975552979395</v>
      </c>
      <c r="Z123" s="395">
        <f>IF(Case_Scenario="Bull",Z124,IF(Case_Scenario="Base",Z125,IF(Case_Scenario="bear",Z126,"N/A")))</f>
        <v>0.022</v>
      </c>
      <c r="AA123" s="395">
        <f>IF(Case_Scenario="Bull",AA124,IF(Case_Scenario="Base",AA125,IF(Case_Scenario="bear",AA126,"N/A")))</f>
        <v>0.022</v>
      </c>
      <c r="AB123" s="395">
        <f>IF(Case_Scenario="Bull",AB124,IF(Case_Scenario="Base",AB125,IF(Case_Scenario="bear",AB126,"N/A")))</f>
        <v>0.022</v>
      </c>
      <c r="AC123" s="395">
        <f>IF(Case_Scenario="Bull",AC124,IF(Case_Scenario="Base",AC125,IF(Case_Scenario="bear",AC126,"N/A")))</f>
        <v>0.022</v>
      </c>
      <c r="AD123" s="395">
        <f>Model!AD189</f>
        <v>0.02205125911869867</v>
      </c>
      <c r="AE123" s="395">
        <f>IF(Case_Scenario="Bull",AE124,IF(Case_Scenario="Base",AE125,IF(Case_Scenario="bear",AE126,"N/A")))</f>
        <v>0.022</v>
      </c>
      <c r="AF123" s="395">
        <f>IF(Case_Scenario="Bull",AF124,IF(Case_Scenario="Base",AF125,IF(Case_Scenario="bear",AF126,"N/A")))</f>
        <v>0.022</v>
      </c>
      <c r="AG123" s="395">
        <f>IF(Case_Scenario="Bull",AG124,IF(Case_Scenario="Base",AG125,IF(Case_Scenario="bear",AG126,"N/A")))</f>
        <v>0.022</v>
      </c>
      <c r="AH123" s="8"/>
      <c r="AI123" s="8"/>
    </row>
    <row r="124" ht="12.75" customHeight="1" spans="1:35" x14ac:dyDescent="0.25">
      <c r="A124" s="8"/>
      <c r="B124" s="8"/>
      <c r="C124" s="130" t="s">
        <v>249</v>
      </c>
      <c r="D124" s="8"/>
      <c r="E124" s="8"/>
      <c r="F124" s="394"/>
      <c r="G124" s="394"/>
      <c r="H124" s="394"/>
      <c r="I124" s="394"/>
      <c r="J124" s="395"/>
      <c r="K124" s="394"/>
      <c r="L124" s="394"/>
      <c r="M124" s="394"/>
      <c r="N124" s="394"/>
      <c r="O124" s="395"/>
      <c r="P124" s="394"/>
      <c r="Q124" s="394"/>
      <c r="R124" s="394"/>
      <c r="S124" s="394"/>
      <c r="T124" s="395"/>
      <c r="U124" s="314">
        <f>U125</f>
        <v>0.022</v>
      </c>
      <c r="V124" s="314">
        <f>V125</f>
        <v>0.022</v>
      </c>
      <c r="W124" s="314">
        <f>W125</f>
        <v>0.022</v>
      </c>
      <c r="X124" s="314">
        <f>X125</f>
        <v>0.026</v>
      </c>
      <c r="Y124" s="395"/>
      <c r="Z124" s="314">
        <f>Z125</f>
        <v>0.022</v>
      </c>
      <c r="AA124" s="314">
        <f>AA125</f>
        <v>0.022</v>
      </c>
      <c r="AB124" s="314">
        <f>AB125</f>
        <v>0.022</v>
      </c>
      <c r="AC124" s="314">
        <f>AC125</f>
        <v>0.022</v>
      </c>
      <c r="AD124" s="395"/>
      <c r="AE124" s="314">
        <f>AE125</f>
        <v>0.022</v>
      </c>
      <c r="AF124" s="314">
        <f>AF125</f>
        <v>0.022</v>
      </c>
      <c r="AG124" s="314">
        <f>AG125</f>
        <v>0.022</v>
      </c>
      <c r="AH124" s="8"/>
      <c r="AI124" s="8"/>
    </row>
    <row r="125" ht="12.75" customHeight="1" spans="1:35" x14ac:dyDescent="0.25">
      <c r="A125" s="8"/>
      <c r="B125" s="8"/>
      <c r="C125" s="130" t="s">
        <v>250</v>
      </c>
      <c r="D125" s="8"/>
      <c r="E125" s="8"/>
      <c r="F125" s="394"/>
      <c r="G125" s="394"/>
      <c r="H125" s="394"/>
      <c r="I125" s="394"/>
      <c r="J125" s="395"/>
      <c r="K125" s="394"/>
      <c r="L125" s="394"/>
      <c r="M125" s="394"/>
      <c r="N125" s="394"/>
      <c r="O125" s="395"/>
      <c r="P125" s="394"/>
      <c r="Q125" s="394"/>
      <c r="R125" s="394"/>
      <c r="S125" s="394"/>
      <c r="T125" s="395"/>
      <c r="U125" s="314">
        <v>0.022</v>
      </c>
      <c r="V125" s="314">
        <v>0.022</v>
      </c>
      <c r="W125" s="314">
        <v>0.022</v>
      </c>
      <c r="X125" s="314">
        <v>0.026</v>
      </c>
      <c r="Y125" s="395"/>
      <c r="Z125" s="314">
        <v>0.022</v>
      </c>
      <c r="AA125" s="314">
        <v>0.022</v>
      </c>
      <c r="AB125" s="314">
        <v>0.022</v>
      </c>
      <c r="AC125" s="314">
        <v>0.022</v>
      </c>
      <c r="AD125" s="395"/>
      <c r="AE125" s="314">
        <v>0.022</v>
      </c>
      <c r="AF125" s="314">
        <v>0.022</v>
      </c>
      <c r="AG125" s="314">
        <v>0.022</v>
      </c>
      <c r="AH125" s="8"/>
      <c r="AI125" s="8"/>
    </row>
    <row r="126" ht="12.75" customHeight="1" spans="1:35" x14ac:dyDescent="0.25">
      <c r="A126" s="8"/>
      <c r="B126" s="8"/>
      <c r="C126" s="130" t="s">
        <v>251</v>
      </c>
      <c r="D126" s="8"/>
      <c r="E126" s="8"/>
      <c r="F126" s="394"/>
      <c r="G126" s="394"/>
      <c r="H126" s="394"/>
      <c r="I126" s="394"/>
      <c r="J126" s="395"/>
      <c r="K126" s="394"/>
      <c r="L126" s="394"/>
      <c r="M126" s="394"/>
      <c r="N126" s="394"/>
      <c r="O126" s="395"/>
      <c r="P126" s="394"/>
      <c r="Q126" s="394"/>
      <c r="R126" s="394"/>
      <c r="S126" s="394"/>
      <c r="T126" s="395"/>
      <c r="U126" s="314">
        <f>U125</f>
        <v>0.022</v>
      </c>
      <c r="V126" s="314">
        <f>V125</f>
        <v>0.022</v>
      </c>
      <c r="W126" s="314">
        <f>W125</f>
        <v>0.022</v>
      </c>
      <c r="X126" s="314">
        <f>X125</f>
        <v>0.026</v>
      </c>
      <c r="Y126" s="395"/>
      <c r="Z126" s="314">
        <f>Z125</f>
        <v>0.022</v>
      </c>
      <c r="AA126" s="314">
        <f>AA125</f>
        <v>0.022</v>
      </c>
      <c r="AB126" s="314">
        <f>AB125</f>
        <v>0.022</v>
      </c>
      <c r="AC126" s="314">
        <f>AC125</f>
        <v>0.022</v>
      </c>
      <c r="AD126" s="395"/>
      <c r="AE126" s="314">
        <f>AE125</f>
        <v>0.022</v>
      </c>
      <c r="AF126" s="314">
        <f>AF125</f>
        <v>0.022</v>
      </c>
      <c r="AG126" s="314">
        <f>AG125</f>
        <v>0.022</v>
      </c>
      <c r="AH126" s="8"/>
      <c r="AI126" s="8"/>
    </row>
    <row r="127" ht="12.75" customHeight="1" spans="1:35" x14ac:dyDescent="0.25">
      <c r="A127" s="8"/>
      <c r="B127" s="8"/>
      <c r="C127" s="130"/>
      <c r="D127" s="8"/>
      <c r="E127" s="8"/>
      <c r="F127" s="394"/>
      <c r="G127" s="394"/>
      <c r="H127" s="394"/>
      <c r="I127" s="394"/>
      <c r="J127" s="395"/>
      <c r="K127" s="394"/>
      <c r="L127" s="394"/>
      <c r="M127" s="394"/>
      <c r="N127" s="394"/>
      <c r="O127" s="395"/>
      <c r="P127" s="394"/>
      <c r="Q127" s="394"/>
      <c r="R127" s="394"/>
      <c r="S127" s="394"/>
      <c r="T127" s="395"/>
      <c r="U127" s="314"/>
      <c r="V127" s="314"/>
      <c r="W127" s="314"/>
      <c r="X127" s="314"/>
      <c r="Y127" s="395"/>
      <c r="Z127" s="314"/>
      <c r="AA127" s="314"/>
      <c r="AB127" s="314"/>
      <c r="AC127" s="314"/>
      <c r="AD127" s="395"/>
      <c r="AE127" s="314"/>
      <c r="AF127" s="314"/>
      <c r="AG127" s="314"/>
      <c r="AH127" s="8"/>
      <c r="AI127" s="8"/>
    </row>
    <row r="128" ht="12.75" customHeight="1" spans="1:35" x14ac:dyDescent="0.25">
      <c r="A128" s="8" t="s">
        <v>3</v>
      </c>
      <c r="B128" s="8"/>
      <c r="C128" s="442" t="str">
        <f>Model!C235</f>
        <v>% Change in LT Assets</v>
      </c>
      <c r="D128" s="8"/>
      <c r="E128" s="8"/>
      <c r="F128" s="394" t="e">
        <f>Model!F235</f>
        <v>#DIV/0!</v>
      </c>
      <c r="G128" s="394" t="e">
        <f>Model!G235</f>
        <v>#DIV/0!</v>
      </c>
      <c r="H128" s="394" t="e">
        <f>Model!H235</f>
        <v>#DIV/0!</v>
      </c>
      <c r="I128" s="394" t="e">
        <f>Model!I235</f>
        <v>#DIV/0!</v>
      </c>
      <c r="J128" s="395" t="e">
        <f>Model!J235</f>
        <v>#DIV/0!</v>
      </c>
      <c r="K128" s="394" t="e">
        <f>Model!K235</f>
        <v>#DIV/0!</v>
      </c>
      <c r="L128" s="394" t="e">
        <f>Model!L235</f>
        <v>#DIV/0!</v>
      </c>
      <c r="M128" s="394" t="e">
        <f>Model!M235</f>
        <v>#DIV/0!</v>
      </c>
      <c r="N128" s="394" t="e">
        <f>Model!N235</f>
        <v>#DIV/0!</v>
      </c>
      <c r="O128" s="395" t="e">
        <f>Model!O235</f>
        <v>#DIV/0!</v>
      </c>
      <c r="P128" s="394" t="e">
        <f>Model!P235</f>
        <v>#DIV/0!</v>
      </c>
      <c r="Q128" s="394" t="e">
        <f>Model!Q235</f>
        <v>#DIV/0!</v>
      </c>
      <c r="R128" s="394" t="e">
        <f>Model!R235</f>
        <v>#DIV/0!</v>
      </c>
      <c r="S128" s="394" t="e">
        <f>Model!S235</f>
        <v>#DIV/0!</v>
      </c>
      <c r="T128" s="395" t="e">
        <f>Model!T235</f>
        <v>#DIV/0!</v>
      </c>
      <c r="U128" s="395">
        <f>IF(Case_Scenario="Bull",U129,IF(Case_Scenario="Base",U130,IF(Case_Scenario="bear",U131,"N/A")))</f>
        <v>0.044</v>
      </c>
      <c r="V128" s="395">
        <f>IF(Case_Scenario="Bull",V129,IF(Case_Scenario="Base",V130,IF(Case_Scenario="bear",V131,"N/A")))</f>
        <v>0.044</v>
      </c>
      <c r="W128" s="395">
        <f>IF(Case_Scenario="Bull",W129,IF(Case_Scenario="Base",W130,IF(Case_Scenario="bear",W131,"N/A")))</f>
        <v>0.044</v>
      </c>
      <c r="X128" s="395">
        <f>IF(Case_Scenario="Bull",X129,IF(Case_Scenario="Base",X130,IF(Case_Scenario="bear",X131,"N/A")))</f>
        <v>0.07</v>
      </c>
      <c r="Y128" s="395" t="e">
        <f>Model!Y235</f>
        <v>#DIV/0!</v>
      </c>
      <c r="Z128" s="395">
        <f>IF(Case_Scenario="Bull",Z129,IF(Case_Scenario="Base",Z130,IF(Case_Scenario="bear",Z131,"N/A")))</f>
        <v>0.044</v>
      </c>
      <c r="AA128" s="395">
        <f>IF(Case_Scenario="Bull",AA129,IF(Case_Scenario="Base",AA130,IF(Case_Scenario="bear",AA131,"N/A")))</f>
        <v>0.044</v>
      </c>
      <c r="AB128" s="395">
        <f>IF(Case_Scenario="Bull",AB129,IF(Case_Scenario="Base",AB130,IF(Case_Scenario="bear",AB131,"N/A")))</f>
        <v>0.044</v>
      </c>
      <c r="AC128" s="395">
        <f>IF(Case_Scenario="Bull",AC129,IF(Case_Scenario="Base",AC130,IF(Case_Scenario="bear",AC131,"N/A")))</f>
        <v>0.044</v>
      </c>
      <c r="AD128" s="395">
        <f>Z130</f>
        <v>0.044</v>
      </c>
      <c r="AE128" s="395">
        <f>IF(Case_Scenario="Bull",AE129,IF(Case_Scenario="Base",AE130,IF(Case_Scenario="bear",AE131,"N/A")))</f>
        <v>0.068</v>
      </c>
      <c r="AF128" s="395">
        <f>IF(Case_Scenario="Bull",AF129,IF(Case_Scenario="Base",AF130,IF(Case_Scenario="bear",AF131,"N/A")))</f>
        <v>0.067</v>
      </c>
      <c r="AG128" s="395">
        <f>IF(Case_Scenario="Bull",AG129,IF(Case_Scenario="Base",AG130,IF(Case_Scenario="bear",AG131,"N/A")))</f>
        <v>0.07</v>
      </c>
      <c r="AH128" s="8"/>
      <c r="AI128" s="8"/>
    </row>
    <row r="129" ht="12.75" customHeight="1" spans="1:35" x14ac:dyDescent="0.25">
      <c r="A129" s="8"/>
      <c r="B129" s="8"/>
      <c r="C129" s="130" t="s">
        <v>249</v>
      </c>
      <c r="D129" s="8"/>
      <c r="E129" s="8"/>
      <c r="F129" s="394"/>
      <c r="G129" s="394"/>
      <c r="H129" s="394"/>
      <c r="I129" s="394"/>
      <c r="J129" s="395"/>
      <c r="K129" s="394"/>
      <c r="L129" s="394"/>
      <c r="M129" s="394"/>
      <c r="N129" s="394"/>
      <c r="O129" s="395"/>
      <c r="P129" s="394"/>
      <c r="Q129" s="394"/>
      <c r="R129" s="394"/>
      <c r="S129" s="394"/>
      <c r="T129" s="395"/>
      <c r="U129" s="314">
        <f>U130</f>
        <v>0.044</v>
      </c>
      <c r="V129" s="314">
        <f>V130</f>
        <v>0.044</v>
      </c>
      <c r="W129" s="314">
        <f>W130</f>
        <v>0.044</v>
      </c>
      <c r="X129" s="314">
        <f>X130</f>
        <v>0.07</v>
      </c>
      <c r="Y129" s="395"/>
      <c r="Z129" s="314">
        <f>Z130</f>
        <v>0.044</v>
      </c>
      <c r="AA129" s="314">
        <f>AA130</f>
        <v>0.044</v>
      </c>
      <c r="AB129" s="314">
        <f>AB130</f>
        <v>0.044</v>
      </c>
      <c r="AC129" s="314">
        <f>AC130</f>
        <v>0.044</v>
      </c>
      <c r="AD129" s="395"/>
      <c r="AE129" s="314">
        <f>AE130</f>
        <v>0.068</v>
      </c>
      <c r="AF129" s="314">
        <f>AF130</f>
        <v>0.067</v>
      </c>
      <c r="AG129" s="314">
        <f>AG130</f>
        <v>0.07</v>
      </c>
      <c r="AH129" s="8"/>
      <c r="AI129" s="8"/>
    </row>
    <row r="130" ht="12.75" customHeight="1" spans="1:35" x14ac:dyDescent="0.25">
      <c r="A130" s="8"/>
      <c r="B130" s="8"/>
      <c r="C130" s="130" t="s">
        <v>250</v>
      </c>
      <c r="D130" s="8"/>
      <c r="E130" s="8"/>
      <c r="F130" s="394"/>
      <c r="G130" s="394"/>
      <c r="H130" s="394"/>
      <c r="I130" s="394"/>
      <c r="J130" s="395"/>
      <c r="K130" s="394"/>
      <c r="L130" s="394"/>
      <c r="M130" s="394"/>
      <c r="N130" s="394"/>
      <c r="O130" s="395"/>
      <c r="P130" s="394"/>
      <c r="Q130" s="394"/>
      <c r="R130" s="394"/>
      <c r="S130" s="394"/>
      <c r="T130" s="395"/>
      <c r="U130" s="314">
        <v>0.044</v>
      </c>
      <c r="V130" s="314">
        <v>0.044</v>
      </c>
      <c r="W130" s="314">
        <v>0.044</v>
      </c>
      <c r="X130" s="314">
        <v>0.07</v>
      </c>
      <c r="Y130" s="395"/>
      <c r="Z130" s="314">
        <v>0.044</v>
      </c>
      <c r="AA130" s="314">
        <v>0.044</v>
      </c>
      <c r="AB130" s="314">
        <v>0.044</v>
      </c>
      <c r="AC130" s="314">
        <v>0.044</v>
      </c>
      <c r="AD130" s="395"/>
      <c r="AE130" s="314">
        <v>0.068</v>
      </c>
      <c r="AF130" s="314">
        <v>0.067</v>
      </c>
      <c r="AG130" s="314">
        <v>0.07</v>
      </c>
      <c r="AH130" s="8"/>
      <c r="AI130" s="8"/>
    </row>
    <row r="131" ht="12.75" customHeight="1" spans="1:35" x14ac:dyDescent="0.25">
      <c r="A131" s="8"/>
      <c r="B131" s="8"/>
      <c r="C131" s="130" t="s">
        <v>251</v>
      </c>
      <c r="D131" s="8"/>
      <c r="E131" s="8"/>
      <c r="F131" s="394"/>
      <c r="G131" s="394"/>
      <c r="H131" s="394"/>
      <c r="I131" s="394"/>
      <c r="J131" s="395"/>
      <c r="K131" s="394"/>
      <c r="L131" s="394"/>
      <c r="M131" s="394"/>
      <c r="N131" s="394"/>
      <c r="O131" s="395"/>
      <c r="P131" s="394"/>
      <c r="Q131" s="394"/>
      <c r="R131" s="394"/>
      <c r="S131" s="394"/>
      <c r="T131" s="395"/>
      <c r="U131" s="314">
        <f>U130</f>
        <v>0.044</v>
      </c>
      <c r="V131" s="314">
        <f>V130</f>
        <v>0.044</v>
      </c>
      <c r="W131" s="314">
        <f>W130</f>
        <v>0.044</v>
      </c>
      <c r="X131" s="314">
        <f>X130</f>
        <v>0.07</v>
      </c>
      <c r="Y131" s="395"/>
      <c r="Z131" s="314">
        <f>Z130</f>
        <v>0.044</v>
      </c>
      <c r="AA131" s="314">
        <f>AA130</f>
        <v>0.044</v>
      </c>
      <c r="AB131" s="314">
        <f>AB130</f>
        <v>0.044</v>
      </c>
      <c r="AC131" s="314">
        <f>AC130</f>
        <v>0.044</v>
      </c>
      <c r="AD131" s="395"/>
      <c r="AE131" s="314">
        <f>AE130</f>
        <v>0.068</v>
      </c>
      <c r="AF131" s="314">
        <f>AF130</f>
        <v>0.067</v>
      </c>
      <c r="AG131" s="314">
        <f>AG130</f>
        <v>0.07</v>
      </c>
      <c r="AH131" s="8"/>
      <c r="AI131" s="8"/>
    </row>
    <row r="132" ht="12.75" customHeight="1" spans="1:35" x14ac:dyDescent="0.25">
      <c r="A132" s="8"/>
      <c r="B132" s="8"/>
      <c r="C132" s="8"/>
      <c r="D132" s="8"/>
      <c r="E132" s="8"/>
      <c r="F132" s="394"/>
      <c r="G132" s="394"/>
      <c r="H132" s="394"/>
      <c r="I132" s="394"/>
      <c r="J132" s="395"/>
      <c r="K132" s="394"/>
      <c r="L132" s="394"/>
      <c r="M132" s="394"/>
      <c r="N132" s="394"/>
      <c r="O132" s="395"/>
      <c r="P132" s="394"/>
      <c r="Q132" s="394"/>
      <c r="R132" s="394"/>
      <c r="S132" s="394"/>
      <c r="T132" s="395"/>
      <c r="U132" s="314"/>
      <c r="V132" s="314"/>
      <c r="W132" s="314"/>
      <c r="X132" s="314"/>
      <c r="Y132" s="395"/>
      <c r="Z132" s="314"/>
      <c r="AA132" s="314"/>
      <c r="AB132" s="314"/>
      <c r="AC132" s="314"/>
      <c r="AD132" s="395"/>
      <c r="AE132" s="314"/>
      <c r="AF132" s="314"/>
      <c r="AG132" s="314"/>
      <c r="AH132" s="8"/>
      <c r="AI132" s="8"/>
    </row>
    <row r="133" ht="12.75" customHeight="1" spans="1:35" x14ac:dyDescent="0.25">
      <c r="A133" s="8"/>
      <c r="B133" s="8"/>
      <c r="C133" s="540" t="s">
        <v>490</v>
      </c>
      <c r="D133" s="541"/>
      <c r="E133" s="541"/>
      <c r="F133" s="542"/>
      <c r="G133" s="543"/>
      <c r="H133" s="543"/>
      <c r="I133" s="543"/>
      <c r="J133" s="543"/>
      <c r="K133" s="543"/>
      <c r="L133" s="543"/>
      <c r="M133" s="543"/>
      <c r="N133" s="543"/>
      <c r="O133" s="543"/>
      <c r="P133" s="543"/>
      <c r="Q133" s="543"/>
      <c r="R133" s="543"/>
      <c r="S133" s="543"/>
      <c r="T133" s="543"/>
      <c r="U133" s="543"/>
      <c r="V133" s="543"/>
      <c r="W133" s="543"/>
      <c r="X133" s="543"/>
      <c r="Y133" s="543"/>
      <c r="Z133" s="543"/>
      <c r="AA133" s="543"/>
      <c r="AB133" s="543"/>
      <c r="AC133" s="543"/>
      <c r="AD133" s="543"/>
      <c r="AE133" s="543"/>
      <c r="AF133" s="543"/>
      <c r="AG133" s="544"/>
      <c r="AH133" s="8"/>
      <c r="AI133" s="8"/>
    </row>
    <row r="134" ht="12.75" customHeight="1" spans="1:35" x14ac:dyDescent="0.25">
      <c r="A134" s="8"/>
      <c r="B134" s="8"/>
      <c r="C134" s="8"/>
      <c r="D134" s="8"/>
      <c r="E134" s="8"/>
      <c r="F134" s="394"/>
      <c r="G134" s="394"/>
      <c r="H134" s="394"/>
      <c r="I134" s="394"/>
      <c r="J134" s="395"/>
      <c r="K134" s="394"/>
      <c r="L134" s="394"/>
      <c r="M134" s="394"/>
      <c r="N134" s="394"/>
      <c r="O134" s="395"/>
      <c r="P134" s="394"/>
      <c r="Q134" s="394"/>
      <c r="R134" s="394"/>
      <c r="S134" s="394"/>
      <c r="T134" s="395"/>
      <c r="U134" s="395"/>
      <c r="V134" s="395"/>
      <c r="W134" s="395"/>
      <c r="X134" s="395"/>
      <c r="Y134" s="395"/>
      <c r="Z134" s="395"/>
      <c r="AA134" s="395"/>
      <c r="AB134" s="395"/>
      <c r="AC134" s="395"/>
      <c r="AD134" s="395"/>
      <c r="AE134" s="160"/>
      <c r="AF134" s="160"/>
      <c r="AG134" s="160"/>
      <c r="AH134" s="8"/>
      <c r="AI134" s="8"/>
    </row>
    <row r="135" ht="12.75" customHeight="1" spans="1:35" x14ac:dyDescent="0.25">
      <c r="A135" s="8"/>
      <c r="B135" s="8"/>
      <c r="C135" s="442" t="str">
        <f>Model!C187</f>
        <v>Days Payables Outstanding</v>
      </c>
      <c r="D135" s="8"/>
      <c r="E135" s="8"/>
      <c r="F135" s="394"/>
      <c r="G135" s="320" t="e">
        <f>Model!G187</f>
        <v>#DIV/0!</v>
      </c>
      <c r="H135" s="320" t="e">
        <f>Model!H187</f>
        <v>#DIV/0!</v>
      </c>
      <c r="I135" s="320" t="e">
        <f>Model!I187</f>
        <v>#DIV/0!</v>
      </c>
      <c r="J135" s="321" t="e">
        <f>Model!J187</f>
        <v>#DIV/0!</v>
      </c>
      <c r="K135" s="320" t="e">
        <f>Model!K187</f>
        <v>#DIV/0!</v>
      </c>
      <c r="L135" s="320" t="e">
        <f>Model!L187</f>
        <v>#DIV/0!</v>
      </c>
      <c r="M135" s="320" t="e">
        <f>Model!M187</f>
        <v>#DIV/0!</v>
      </c>
      <c r="N135" s="320" t="e">
        <f>Model!N187</f>
        <v>#DIV/0!</v>
      </c>
      <c r="O135" s="321" t="e">
        <f>Model!O187</f>
        <v>#DIV/0!</v>
      </c>
      <c r="P135" s="320" t="e">
        <f>Model!P187</f>
        <v>#DIV/0!</v>
      </c>
      <c r="Q135" s="320" t="e">
        <f>Model!Q187</f>
        <v>#DIV/0!</v>
      </c>
      <c r="R135" s="320" t="e">
        <f>Model!R187</f>
        <v>#DIV/0!</v>
      </c>
      <c r="S135" s="320" t="e">
        <f>Model!S187</f>
        <v>#DIV/0!</v>
      </c>
      <c r="T135" s="321" t="e">
        <f>Model!T187</f>
        <v>#DIV/0!</v>
      </c>
      <c r="U135" s="321">
        <f>IF(Case_Scenario="Bull",U136,IF(Case_Scenario="Base",U137,IF(Case_Scenario="bear",U138,"N/A")))</f>
        <v>49.5</v>
      </c>
      <c r="V135" s="321">
        <f>IF(Case_Scenario="Bull",V136,IF(Case_Scenario="Base",V137,IF(Case_Scenario="bear",V138,"N/A")))</f>
        <v>49.4</v>
      </c>
      <c r="W135" s="321">
        <f>IF(Case_Scenario="Bull",W136,IF(Case_Scenario="Base",W137,IF(Case_Scenario="bear",W138,"N/A")))</f>
        <v>49.4</v>
      </c>
      <c r="X135" s="321">
        <f>IF(Case_Scenario="Bull",X136,IF(Case_Scenario="Base",X137,IF(Case_Scenario="bear",X138,"N/A")))</f>
        <v>47</v>
      </c>
      <c r="Y135" s="321">
        <f>Model!Y187</f>
        <v>93.2336956521739</v>
      </c>
      <c r="Z135" s="321">
        <f>IF(Case_Scenario="Bull",Z136,IF(Case_Scenario="Base",Z137,IF(Case_Scenario="bear",Z138,"N/A")))</f>
        <v>49</v>
      </c>
      <c r="AA135" s="321">
        <f>IF(Case_Scenario="Bull",AA136,IF(Case_Scenario="Base",AA137,IF(Case_Scenario="bear",AA138,"N/A")))</f>
        <v>48.5</v>
      </c>
      <c r="AB135" s="321">
        <f>IF(Case_Scenario="Bull",AB136,IF(Case_Scenario="Base",AB137,IF(Case_Scenario="bear",AB138,"N/A")))</f>
        <v>48.5</v>
      </c>
      <c r="AC135" s="321">
        <f>IF(Case_Scenario="Bull",AC136,IF(Case_Scenario="Base",AC137,IF(Case_Scenario="bear",AC138,"N/A")))</f>
        <v>48</v>
      </c>
      <c r="AD135" s="321">
        <f>Model!AD187</f>
        <v>46.99992364313107</v>
      </c>
      <c r="AE135" s="321">
        <f>IF(Case_Scenario="Bull",AE136,IF(Case_Scenario="Base",AE137,IF(Case_Scenario="bear",AE138,"N/A")))</f>
        <v>47.5</v>
      </c>
      <c r="AF135" s="321">
        <f>IF(Case_Scenario="Bull",AF136,IF(Case_Scenario="Base",AF137,IF(Case_Scenario="bear",AF138,"N/A")))</f>
        <v>47</v>
      </c>
      <c r="AG135" s="321">
        <f>IF(Case_Scenario="Bull",AG136,IF(Case_Scenario="Base",AG137,IF(Case_Scenario="bear",AG138,"N/A")))</f>
        <v>47</v>
      </c>
      <c r="AH135" s="8"/>
      <c r="AI135" s="8"/>
    </row>
    <row r="136" ht="12.75" customHeight="1" spans="1:35" x14ac:dyDescent="0.25">
      <c r="A136" s="8"/>
      <c r="B136" s="8"/>
      <c r="C136" s="130" t="s">
        <v>249</v>
      </c>
      <c r="D136" s="8"/>
      <c r="E136" s="8"/>
      <c r="F136" s="394"/>
      <c r="G136" s="394"/>
      <c r="H136" s="394"/>
      <c r="I136" s="394"/>
      <c r="J136" s="395"/>
      <c r="K136" s="394"/>
      <c r="L136" s="394"/>
      <c r="M136" s="394"/>
      <c r="N136" s="394"/>
      <c r="O136" s="395"/>
      <c r="P136" s="394"/>
      <c r="Q136" s="394"/>
      <c r="R136" s="394"/>
      <c r="S136" s="394"/>
      <c r="T136" s="395"/>
      <c r="U136" s="550">
        <v>40</v>
      </c>
      <c r="V136" s="550">
        <v>40</v>
      </c>
      <c r="W136" s="550">
        <v>40</v>
      </c>
      <c r="X136" s="550">
        <v>40</v>
      </c>
      <c r="Y136" s="395"/>
      <c r="Z136" s="550">
        <v>40</v>
      </c>
      <c r="AA136" s="550">
        <v>40</v>
      </c>
      <c r="AB136" s="550">
        <v>40</v>
      </c>
      <c r="AC136" s="550">
        <v>40</v>
      </c>
      <c r="AD136" s="395"/>
      <c r="AE136" s="550">
        <v>40</v>
      </c>
      <c r="AF136" s="550">
        <v>40</v>
      </c>
      <c r="AG136" s="550">
        <v>40</v>
      </c>
      <c r="AH136" s="8"/>
      <c r="AI136" s="8"/>
    </row>
    <row r="137" ht="12.75" customHeight="1" spans="1:35" x14ac:dyDescent="0.25">
      <c r="A137" s="8"/>
      <c r="B137" s="8"/>
      <c r="C137" s="130" t="s">
        <v>250</v>
      </c>
      <c r="D137" s="8"/>
      <c r="E137" s="8"/>
      <c r="F137" s="394"/>
      <c r="G137" s="394"/>
      <c r="H137" s="394"/>
      <c r="I137" s="394"/>
      <c r="J137" s="395"/>
      <c r="K137" s="394"/>
      <c r="L137" s="394"/>
      <c r="M137" s="394"/>
      <c r="N137" s="394"/>
      <c r="O137" s="395"/>
      <c r="P137" s="394"/>
      <c r="Q137" s="394"/>
      <c r="R137" s="394"/>
      <c r="S137" s="394"/>
      <c r="T137" s="395"/>
      <c r="U137" s="550">
        <v>49.5</v>
      </c>
      <c r="V137" s="550">
        <v>49.4</v>
      </c>
      <c r="W137" s="550">
        <v>49.4</v>
      </c>
      <c r="X137" s="550">
        <v>47</v>
      </c>
      <c r="Y137" s="395"/>
      <c r="Z137" s="550">
        <v>49</v>
      </c>
      <c r="AA137" s="550">
        <v>48.5</v>
      </c>
      <c r="AB137" s="550">
        <v>48.5</v>
      </c>
      <c r="AC137" s="550">
        <v>48</v>
      </c>
      <c r="AD137" s="395"/>
      <c r="AE137" s="550">
        <v>47.5</v>
      </c>
      <c r="AF137" s="550">
        <v>47</v>
      </c>
      <c r="AG137" s="550">
        <v>47</v>
      </c>
      <c r="AH137" s="8"/>
      <c r="AI137" s="8"/>
    </row>
    <row r="138" ht="12.75" customHeight="1" spans="1:35" x14ac:dyDescent="0.25">
      <c r="A138" s="8"/>
      <c r="B138" s="8"/>
      <c r="C138" s="130" t="s">
        <v>251</v>
      </c>
      <c r="D138" s="8"/>
      <c r="E138" s="8"/>
      <c r="F138" s="394"/>
      <c r="G138" s="394"/>
      <c r="H138" s="394"/>
      <c r="I138" s="394"/>
      <c r="J138" s="395"/>
      <c r="K138" s="394"/>
      <c r="L138" s="394"/>
      <c r="M138" s="394"/>
      <c r="N138" s="394"/>
      <c r="O138" s="395"/>
      <c r="P138" s="394"/>
      <c r="Q138" s="394"/>
      <c r="R138" s="394"/>
      <c r="S138" s="394"/>
      <c r="T138" s="395"/>
      <c r="U138" s="550">
        <v>40</v>
      </c>
      <c r="V138" s="550">
        <v>40</v>
      </c>
      <c r="W138" s="550">
        <v>40</v>
      </c>
      <c r="X138" s="550">
        <v>40</v>
      </c>
      <c r="Y138" s="395"/>
      <c r="Z138" s="550">
        <v>40</v>
      </c>
      <c r="AA138" s="550">
        <v>40</v>
      </c>
      <c r="AB138" s="550">
        <v>40</v>
      </c>
      <c r="AC138" s="550">
        <v>40</v>
      </c>
      <c r="AD138" s="395"/>
      <c r="AE138" s="550">
        <v>40</v>
      </c>
      <c r="AF138" s="550">
        <v>40</v>
      </c>
      <c r="AG138" s="550">
        <v>40</v>
      </c>
      <c r="AH138" s="8"/>
      <c r="AI138" s="8"/>
    </row>
    <row r="139" ht="12.75" customHeight="1" spans="1:35" x14ac:dyDescent="0.25">
      <c r="A139" s="8"/>
      <c r="B139" s="8"/>
      <c r="C139" s="8"/>
      <c r="D139" s="8"/>
      <c r="E139" s="8"/>
      <c r="F139" s="394"/>
      <c r="G139" s="394"/>
      <c r="H139" s="394"/>
      <c r="I139" s="394"/>
      <c r="J139" s="395"/>
      <c r="K139" s="394"/>
      <c r="L139" s="394"/>
      <c r="M139" s="394"/>
      <c r="N139" s="394"/>
      <c r="O139" s="395"/>
      <c r="P139" s="394"/>
      <c r="Q139" s="394"/>
      <c r="R139" s="394"/>
      <c r="S139" s="394"/>
      <c r="T139" s="395"/>
      <c r="U139" s="314"/>
      <c r="V139" s="314"/>
      <c r="W139" s="314"/>
      <c r="X139" s="314"/>
      <c r="Y139" s="395"/>
      <c r="Z139" s="314"/>
      <c r="AA139" s="314"/>
      <c r="AB139" s="314"/>
      <c r="AC139" s="314"/>
      <c r="AD139" s="395"/>
      <c r="AE139" s="314"/>
      <c r="AF139" s="314"/>
      <c r="AG139" s="314"/>
      <c r="AH139" s="8"/>
      <c r="AI139" s="8"/>
    </row>
    <row r="140" ht="12.75" customHeight="1" spans="1:35" x14ac:dyDescent="0.25">
      <c r="A140" s="8"/>
      <c r="B140" s="8" t="s">
        <v>3</v>
      </c>
      <c r="C140" s="8" t="str">
        <f>Model!C190</f>
        <v>Accrued Liabilities as a % of COGS</v>
      </c>
      <c r="D140" s="8"/>
      <c r="E140" s="8"/>
      <c r="F140" s="394" t="e">
        <f>Model!F190</f>
        <v>#DIV/0!</v>
      </c>
      <c r="G140" s="394" t="e">
        <f>Model!G190</f>
        <v>#DIV/0!</v>
      </c>
      <c r="H140" s="394" t="e">
        <f>Model!H190</f>
        <v>#DIV/0!</v>
      </c>
      <c r="I140" s="394" t="e">
        <f>Model!I190</f>
        <v>#DIV/0!</v>
      </c>
      <c r="J140" s="395" t="e">
        <f>Model!J190</f>
        <v>#DIV/0!</v>
      </c>
      <c r="K140" s="394" t="e">
        <f>Model!K190</f>
        <v>#DIV/0!</v>
      </c>
      <c r="L140" s="394" t="e">
        <f>Model!L190</f>
        <v>#DIV/0!</v>
      </c>
      <c r="M140" s="394" t="e">
        <f>Model!M190</f>
        <v>#DIV/0!</v>
      </c>
      <c r="N140" s="394" t="e">
        <f>Model!N190</f>
        <v>#DIV/0!</v>
      </c>
      <c r="O140" s="395" t="e">
        <f>Model!O190</f>
        <v>#DIV/0!</v>
      </c>
      <c r="P140" s="394" t="e">
        <f>Model!P190</f>
        <v>#DIV/0!</v>
      </c>
      <c r="Q140" s="394" t="e">
        <f>Model!Q190</f>
        <v>#DIV/0!</v>
      </c>
      <c r="R140" s="394" t="e">
        <f>Model!R190</f>
        <v>#DIV/0!</v>
      </c>
      <c r="S140" s="394" t="e">
        <f>Model!S190</f>
        <v>#DIV/0!</v>
      </c>
      <c r="T140" s="395" t="e">
        <f>Model!T190</f>
        <v>#DIV/0!</v>
      </c>
      <c r="U140" s="395">
        <f>IF(Case_Scenario="Bull",U141,IF(Case_Scenario="Base",U142,IF(Case_Scenario="bear",U143,"N/A")))</f>
        <v>0.014</v>
      </c>
      <c r="V140" s="395">
        <f>IF(Case_Scenario="Bull",V141,IF(Case_Scenario="Base",V142,IF(Case_Scenario="bear",V143,"N/A")))</f>
        <v>0.014</v>
      </c>
      <c r="W140" s="395">
        <f>IF(Case_Scenario="Bull",W141,IF(Case_Scenario="Base",W142,IF(Case_Scenario="bear",W143,"N/A")))</f>
        <v>0.014</v>
      </c>
      <c r="X140" s="395">
        <f>IF(Case_Scenario="Bull",X141,IF(Case_Scenario="Base",X142,IF(Case_Scenario="bear",X143,"N/A")))</f>
        <v>0.015</v>
      </c>
      <c r="Y140" s="395">
        <f>Model!Y190</f>
        <v>0.060000000000000005</v>
      </c>
      <c r="Z140" s="395">
        <f>IF(Case_Scenario="Bull",Z141,IF(Case_Scenario="Base",Z142,IF(Case_Scenario="bear",Z143,"N/A")))</f>
        <v>0.014</v>
      </c>
      <c r="AA140" s="395">
        <f>IF(Case_Scenario="Bull",AA141,IF(Case_Scenario="Base",AA142,IF(Case_Scenario="bear",AA143,"N/A")))</f>
        <v>0.014</v>
      </c>
      <c r="AB140" s="395">
        <f>IF(Case_Scenario="Bull",AB141,IF(Case_Scenario="Base",AB142,IF(Case_Scenario="bear",AB143,"N/A")))</f>
        <v>0.014</v>
      </c>
      <c r="AC140" s="395">
        <f>IF(Case_Scenario="Bull",AC141,IF(Case_Scenario="Base",AC142,IF(Case_Scenario="bear",AC143,"N/A")))</f>
        <v>0.014</v>
      </c>
      <c r="AD140" s="395">
        <f>Model!AD190</f>
        <v>0.014013913955035907</v>
      </c>
      <c r="AE140" s="395">
        <f>IF(Case_Scenario="Bull",AE141,IF(Case_Scenario="Base",AE142,IF(Case_Scenario="bear",AE143,"N/A")))</f>
        <v>0.014</v>
      </c>
      <c r="AF140" s="395">
        <f>IF(Case_Scenario="Bull",AF141,IF(Case_Scenario="Base",AF142,IF(Case_Scenario="bear",AF143,"N/A")))</f>
        <v>0.014</v>
      </c>
      <c r="AG140" s="395">
        <f>IF(Case_Scenario="Bull",AG141,IF(Case_Scenario="Base",AG142,IF(Case_Scenario="bear",AG143,"N/A")))</f>
        <v>0.014</v>
      </c>
      <c r="AH140" s="8"/>
      <c r="AI140" s="8"/>
    </row>
    <row r="141" ht="12.75" customHeight="1" spans="1:35" x14ac:dyDescent="0.25">
      <c r="A141" s="8"/>
      <c r="B141" s="8"/>
      <c r="C141" s="130" t="s">
        <v>249</v>
      </c>
      <c r="D141" s="8"/>
      <c r="E141" s="8"/>
      <c r="F141" s="394"/>
      <c r="G141" s="394"/>
      <c r="H141" s="394"/>
      <c r="I141" s="394"/>
      <c r="J141" s="395"/>
      <c r="K141" s="394"/>
      <c r="L141" s="394"/>
      <c r="M141" s="394"/>
      <c r="N141" s="394"/>
      <c r="O141" s="395"/>
      <c r="P141" s="394"/>
      <c r="Q141" s="394"/>
      <c r="R141" s="394"/>
      <c r="S141" s="394"/>
      <c r="T141" s="395"/>
      <c r="U141" s="314">
        <f>U142</f>
        <v>0.014</v>
      </c>
      <c r="V141" s="314">
        <f>V142</f>
        <v>0.014</v>
      </c>
      <c r="W141" s="314">
        <f>W142</f>
        <v>0.014</v>
      </c>
      <c r="X141" s="314">
        <f>X142</f>
        <v>0.015</v>
      </c>
      <c r="Y141" s="395"/>
      <c r="Z141" s="314">
        <f>Z142</f>
        <v>0.014</v>
      </c>
      <c r="AA141" s="314">
        <f>AA142</f>
        <v>0.014</v>
      </c>
      <c r="AB141" s="314">
        <f>AB142</f>
        <v>0.014</v>
      </c>
      <c r="AC141" s="314">
        <f>AC142</f>
        <v>0.014</v>
      </c>
      <c r="AD141" s="395"/>
      <c r="AE141" s="314">
        <f>AE142</f>
        <v>0.014</v>
      </c>
      <c r="AF141" s="314">
        <f>AF142</f>
        <v>0.014</v>
      </c>
      <c r="AG141" s="314">
        <f>AG142</f>
        <v>0.014</v>
      </c>
      <c r="AH141" s="8"/>
      <c r="AI141" s="8"/>
    </row>
    <row r="142" ht="12.75" customHeight="1" spans="1:35" x14ac:dyDescent="0.25">
      <c r="A142" s="8"/>
      <c r="B142" s="8"/>
      <c r="C142" s="130" t="s">
        <v>250</v>
      </c>
      <c r="D142" s="8"/>
      <c r="E142" s="8"/>
      <c r="F142" s="394"/>
      <c r="G142" s="394"/>
      <c r="H142" s="394"/>
      <c r="I142" s="394"/>
      <c r="J142" s="395"/>
      <c r="K142" s="394"/>
      <c r="L142" s="394"/>
      <c r="M142" s="394"/>
      <c r="N142" s="394"/>
      <c r="O142" s="395"/>
      <c r="P142" s="394"/>
      <c r="Q142" s="394"/>
      <c r="R142" s="394"/>
      <c r="S142" s="394"/>
      <c r="T142" s="395"/>
      <c r="U142" s="314">
        <v>0.014</v>
      </c>
      <c r="V142" s="314">
        <v>0.014</v>
      </c>
      <c r="W142" s="314">
        <v>0.014</v>
      </c>
      <c r="X142" s="314">
        <v>0.015</v>
      </c>
      <c r="Y142" s="395"/>
      <c r="Z142" s="314">
        <v>0.014</v>
      </c>
      <c r="AA142" s="314">
        <v>0.014</v>
      </c>
      <c r="AB142" s="314">
        <v>0.014</v>
      </c>
      <c r="AC142" s="314">
        <v>0.014</v>
      </c>
      <c r="AD142" s="395"/>
      <c r="AE142" s="314">
        <v>0.014</v>
      </c>
      <c r="AF142" s="314">
        <v>0.014</v>
      </c>
      <c r="AG142" s="314">
        <v>0.014</v>
      </c>
      <c r="AH142" s="8"/>
      <c r="AI142" s="8"/>
    </row>
    <row r="143" ht="12.75" customHeight="1" spans="1:35" x14ac:dyDescent="0.25">
      <c r="A143" s="257" t="s">
        <v>3</v>
      </c>
      <c r="B143" s="257" t="s">
        <v>3</v>
      </c>
      <c r="C143" s="130" t="s">
        <v>251</v>
      </c>
      <c r="D143" s="8"/>
      <c r="E143" s="8"/>
      <c r="F143" s="394"/>
      <c r="G143" s="394"/>
      <c r="H143" s="394"/>
      <c r="I143" s="394"/>
      <c r="J143" s="395"/>
      <c r="K143" s="394"/>
      <c r="L143" s="394"/>
      <c r="M143" s="394"/>
      <c r="N143" s="394"/>
      <c r="O143" s="395"/>
      <c r="P143" s="394"/>
      <c r="Q143" s="394"/>
      <c r="R143" s="394"/>
      <c r="S143" s="394"/>
      <c r="T143" s="395"/>
      <c r="U143" s="314">
        <f>U142</f>
        <v>0.014</v>
      </c>
      <c r="V143" s="314">
        <f>V142</f>
        <v>0.014</v>
      </c>
      <c r="W143" s="314">
        <f>W142</f>
        <v>0.014</v>
      </c>
      <c r="X143" s="314">
        <f>X142</f>
        <v>0.015</v>
      </c>
      <c r="Y143" s="395"/>
      <c r="Z143" s="314">
        <f>Z142</f>
        <v>0.014</v>
      </c>
      <c r="AA143" s="314">
        <f>AA142</f>
        <v>0.014</v>
      </c>
      <c r="AB143" s="314">
        <f>AB142</f>
        <v>0.014</v>
      </c>
      <c r="AC143" s="314">
        <f>AC142</f>
        <v>0.014</v>
      </c>
      <c r="AD143" s="395"/>
      <c r="AE143" s="314">
        <f>AE142</f>
        <v>0.014</v>
      </c>
      <c r="AF143" s="314">
        <f>AF142</f>
        <v>0.014</v>
      </c>
      <c r="AG143" s="314">
        <f>AG142</f>
        <v>0.014</v>
      </c>
      <c r="AH143" s="257" t="s">
        <v>3</v>
      </c>
      <c r="AI143" s="257"/>
    </row>
    <row r="144" ht="12.75" customHeight="1" spans="1:35" x14ac:dyDescent="0.25">
      <c r="A144" s="8"/>
      <c r="B144" s="8"/>
      <c r="C144" s="8"/>
      <c r="D144" s="8"/>
      <c r="E144" s="8"/>
      <c r="F144" s="394"/>
      <c r="G144" s="394"/>
      <c r="H144" s="394"/>
      <c r="I144" s="394"/>
      <c r="J144" s="395"/>
      <c r="K144" s="394"/>
      <c r="L144" s="394"/>
      <c r="M144" s="394"/>
      <c r="N144" s="394"/>
      <c r="O144" s="395"/>
      <c r="P144" s="394"/>
      <c r="Q144" s="394"/>
      <c r="R144" s="394"/>
      <c r="S144" s="394"/>
      <c r="T144" s="395"/>
      <c r="U144" s="314"/>
      <c r="V144" s="314"/>
      <c r="W144" s="314"/>
      <c r="X144" s="314"/>
      <c r="Y144" s="395"/>
      <c r="Z144" s="314"/>
      <c r="AA144" s="314"/>
      <c r="AB144" s="314"/>
      <c r="AC144" s="314"/>
      <c r="AD144" s="395"/>
      <c r="AE144" s="314"/>
      <c r="AF144" s="314"/>
      <c r="AG144" s="314"/>
      <c r="AH144" s="8"/>
      <c r="AI144" s="8"/>
    </row>
    <row r="145" ht="12.75" customHeight="1" spans="1:35" x14ac:dyDescent="0.25">
      <c r="A145" s="8"/>
      <c r="B145" s="8"/>
      <c r="C145" s="442" t="str">
        <f>Model!C191</f>
        <v>Other Current Liabilities as a % of COGS</v>
      </c>
      <c r="D145" s="8"/>
      <c r="E145" s="8"/>
      <c r="F145" s="394" t="e">
        <f>Model!F191</f>
        <v>#DIV/0!</v>
      </c>
      <c r="G145" s="394" t="e">
        <f>Model!G191</f>
        <v>#DIV/0!</v>
      </c>
      <c r="H145" s="394" t="e">
        <f>Model!H191</f>
        <v>#DIV/0!</v>
      </c>
      <c r="I145" s="394" t="e">
        <f>Model!I191</f>
        <v>#DIV/0!</v>
      </c>
      <c r="J145" s="395" t="e">
        <f>Model!J191</f>
        <v>#DIV/0!</v>
      </c>
      <c r="K145" s="394" t="e">
        <f>Model!K191</f>
        <v>#DIV/0!</v>
      </c>
      <c r="L145" s="394" t="e">
        <f>Model!L191</f>
        <v>#DIV/0!</v>
      </c>
      <c r="M145" s="394" t="e">
        <f>Model!M191</f>
        <v>#DIV/0!</v>
      </c>
      <c r="N145" s="394" t="e">
        <f>Model!N191</f>
        <v>#DIV/0!</v>
      </c>
      <c r="O145" s="395" t="e">
        <f>Model!O191</f>
        <v>#DIV/0!</v>
      </c>
      <c r="P145" s="394" t="e">
        <f>Model!P191</f>
        <v>#DIV/0!</v>
      </c>
      <c r="Q145" s="394" t="e">
        <f>Model!Q191</f>
        <v>#DIV/0!</v>
      </c>
      <c r="R145" s="394" t="e">
        <f>Model!R191</f>
        <v>#DIV/0!</v>
      </c>
      <c r="S145" s="394" t="e">
        <f>Model!S191</f>
        <v>#DIV/0!</v>
      </c>
      <c r="T145" s="395" t="e">
        <f>Model!T191</f>
        <v>#DIV/0!</v>
      </c>
      <c r="U145" s="395">
        <f>IF(Case_Scenario="Bull",U146,IF(Case_Scenario="Base",U147,IF(Case_Scenario="bear",U148,"N/A")))</f>
        <v>0.28</v>
      </c>
      <c r="V145" s="395">
        <f>IF(Case_Scenario="Bull",V146,IF(Case_Scenario="Base",V147,IF(Case_Scenario="bear",V148,"N/A")))</f>
        <v>0.28</v>
      </c>
      <c r="W145" s="395">
        <f>IF(Case_Scenario="Bull",W146,IF(Case_Scenario="Base",W147,IF(Case_Scenario="bear",W148,"N/A")))</f>
        <v>0.28</v>
      </c>
      <c r="X145" s="395">
        <f>IF(Case_Scenario="Bull",X146,IF(Case_Scenario="Base",X147,IF(Case_Scenario="bear",X148,"N/A")))</f>
        <v>0.275</v>
      </c>
      <c r="Y145" s="395">
        <f>Model!Y191</f>
        <v>1.1</v>
      </c>
      <c r="Z145" s="395">
        <f>IF(Case_Scenario="Bull",Z146,IF(Case_Scenario="Base",Z147,IF(Case_Scenario="bear",Z148,"N/A")))</f>
        <v>0.28</v>
      </c>
      <c r="AA145" s="395">
        <f>IF(Case_Scenario="Bull",AA146,IF(Case_Scenario="Base",AA147,IF(Case_Scenario="bear",AA148,"N/A")))</f>
        <v>0.28</v>
      </c>
      <c r="AB145" s="395">
        <f>IF(Case_Scenario="Bull",AB146,IF(Case_Scenario="Base",AB147,IF(Case_Scenario="bear",AB148,"N/A")))</f>
        <v>0.28</v>
      </c>
      <c r="AC145" s="395">
        <f>IF(Case_Scenario="Bull",AC146,IF(Case_Scenario="Base",AC147,IF(Case_Scenario="bear",AC148,"N/A")))</f>
        <v>0.28</v>
      </c>
      <c r="AD145" s="395">
        <f>Model!AD191</f>
        <v>0.2802782791007181</v>
      </c>
      <c r="AE145" s="395">
        <f>IF(Case_Scenario="Bull",AE146,IF(Case_Scenario="Base",AE147,IF(Case_Scenario="bear",AE148,"N/A")))</f>
        <v>0.28</v>
      </c>
      <c r="AF145" s="395">
        <f>IF(Case_Scenario="Bull",AF146,IF(Case_Scenario="Base",AF147,IF(Case_Scenario="bear",AF148,"N/A")))</f>
        <v>0.28</v>
      </c>
      <c r="AG145" s="395">
        <f>IF(Case_Scenario="Bull",AG146,IF(Case_Scenario="Base",AG147,IF(Case_Scenario="bear",AG148,"N/A")))</f>
        <v>0.28</v>
      </c>
      <c r="AH145" s="8"/>
      <c r="AI145" s="8"/>
    </row>
    <row r="146" ht="12.75" customHeight="1" spans="1:35" x14ac:dyDescent="0.25">
      <c r="A146" s="257" t="s">
        <v>3</v>
      </c>
      <c r="B146" s="257" t="s">
        <v>3</v>
      </c>
      <c r="C146" s="130" t="s">
        <v>249</v>
      </c>
      <c r="D146" s="8"/>
      <c r="E146" s="8"/>
      <c r="F146" s="394"/>
      <c r="G146" s="394"/>
      <c r="H146" s="394"/>
      <c r="I146" s="394"/>
      <c r="J146" s="395"/>
      <c r="K146" s="394"/>
      <c r="L146" s="394"/>
      <c r="M146" s="394"/>
      <c r="N146" s="394"/>
      <c r="O146" s="395"/>
      <c r="P146" s="394"/>
      <c r="Q146" s="394"/>
      <c r="R146" s="394"/>
      <c r="S146" s="394"/>
      <c r="T146" s="395"/>
      <c r="U146" s="314">
        <v>0.2</v>
      </c>
      <c r="V146" s="314">
        <v>0.2</v>
      </c>
      <c r="W146" s="314">
        <v>0.2</v>
      </c>
      <c r="X146" s="314">
        <v>0.2</v>
      </c>
      <c r="Y146" s="395"/>
      <c r="Z146" s="314">
        <v>0.2</v>
      </c>
      <c r="AA146" s="314">
        <v>0.2</v>
      </c>
      <c r="AB146" s="314">
        <v>0.2</v>
      </c>
      <c r="AC146" s="314">
        <v>0.2</v>
      </c>
      <c r="AD146" s="395"/>
      <c r="AE146" s="314">
        <v>0.2</v>
      </c>
      <c r="AF146" s="314">
        <v>0.2</v>
      </c>
      <c r="AG146" s="314">
        <v>0.2</v>
      </c>
      <c r="AH146" s="8"/>
      <c r="AI146" s="8"/>
    </row>
    <row r="147" ht="12.75" customHeight="1" spans="1:35" x14ac:dyDescent="0.25">
      <c r="A147" s="8"/>
      <c r="B147" s="8"/>
      <c r="C147" s="130" t="s">
        <v>250</v>
      </c>
      <c r="D147" s="8"/>
      <c r="E147" s="8"/>
      <c r="F147" s="394"/>
      <c r="G147" s="394"/>
      <c r="H147" s="394"/>
      <c r="I147" s="394"/>
      <c r="J147" s="395"/>
      <c r="K147" s="394"/>
      <c r="L147" s="394"/>
      <c r="M147" s="394"/>
      <c r="N147" s="394"/>
      <c r="O147" s="395"/>
      <c r="P147" s="394"/>
      <c r="Q147" s="394"/>
      <c r="R147" s="394"/>
      <c r="S147" s="394"/>
      <c r="T147" s="395"/>
      <c r="U147" s="314">
        <v>0.28</v>
      </c>
      <c r="V147" s="314">
        <v>0.28</v>
      </c>
      <c r="W147" s="314">
        <v>0.28</v>
      </c>
      <c r="X147" s="314">
        <v>0.275</v>
      </c>
      <c r="Y147" s="395"/>
      <c r="Z147" s="314">
        <v>0.28</v>
      </c>
      <c r="AA147" s="314">
        <v>0.28</v>
      </c>
      <c r="AB147" s="314">
        <v>0.28</v>
      </c>
      <c r="AC147" s="314">
        <v>0.28</v>
      </c>
      <c r="AD147" s="395"/>
      <c r="AE147" s="314">
        <v>0.28</v>
      </c>
      <c r="AF147" s="314">
        <v>0.28</v>
      </c>
      <c r="AG147" s="314">
        <v>0.28</v>
      </c>
      <c r="AH147" s="8"/>
      <c r="AI147" s="8"/>
    </row>
    <row r="148" ht="12.75" customHeight="1" spans="1:35" x14ac:dyDescent="0.25">
      <c r="A148" s="8"/>
      <c r="B148" s="8"/>
      <c r="C148" s="130" t="s">
        <v>251</v>
      </c>
      <c r="D148" s="8"/>
      <c r="E148" s="8"/>
      <c r="F148" s="394"/>
      <c r="G148" s="394"/>
      <c r="H148" s="394"/>
      <c r="I148" s="394"/>
      <c r="J148" s="395"/>
      <c r="K148" s="394"/>
      <c r="L148" s="394"/>
      <c r="M148" s="394"/>
      <c r="N148" s="394"/>
      <c r="O148" s="395"/>
      <c r="P148" s="394"/>
      <c r="Q148" s="394"/>
      <c r="R148" s="394"/>
      <c r="S148" s="394"/>
      <c r="T148" s="395"/>
      <c r="U148" s="314">
        <v>0.2</v>
      </c>
      <c r="V148" s="314">
        <v>0.2</v>
      </c>
      <c r="W148" s="314">
        <v>0.2</v>
      </c>
      <c r="X148" s="314">
        <v>0.2</v>
      </c>
      <c r="Y148" s="395"/>
      <c r="Z148" s="314">
        <v>0.2</v>
      </c>
      <c r="AA148" s="314">
        <v>0.2</v>
      </c>
      <c r="AB148" s="314">
        <v>0.2</v>
      </c>
      <c r="AC148" s="314">
        <v>0.2</v>
      </c>
      <c r="AD148" s="395"/>
      <c r="AE148" s="314">
        <v>0.2</v>
      </c>
      <c r="AF148" s="314">
        <v>0.2</v>
      </c>
      <c r="AG148" s="314">
        <v>0.2</v>
      </c>
      <c r="AH148" s="8"/>
      <c r="AI148" s="8"/>
    </row>
    <row r="149" ht="12.75" customHeight="1" spans="1:35" x14ac:dyDescent="0.25">
      <c r="A149" s="8"/>
      <c r="B149" s="8"/>
      <c r="C149" s="130"/>
      <c r="D149" s="8"/>
      <c r="E149" s="8"/>
      <c r="F149" s="394"/>
      <c r="G149" s="394"/>
      <c r="H149" s="394"/>
      <c r="I149" s="394"/>
      <c r="J149" s="395"/>
      <c r="K149" s="394"/>
      <c r="L149" s="394"/>
      <c r="M149" s="394"/>
      <c r="N149" s="394"/>
      <c r="O149" s="395"/>
      <c r="P149" s="394"/>
      <c r="Q149" s="394"/>
      <c r="R149" s="394"/>
      <c r="S149" s="394"/>
      <c r="T149" s="395"/>
      <c r="U149" s="314"/>
      <c r="V149" s="314"/>
      <c r="W149" s="314"/>
      <c r="X149" s="314"/>
      <c r="Y149" s="395"/>
      <c r="Z149" s="314"/>
      <c r="AA149" s="314"/>
      <c r="AB149" s="314"/>
      <c r="AC149" s="314"/>
      <c r="AD149" s="395"/>
      <c r="AE149" s="314"/>
      <c r="AF149" s="314"/>
      <c r="AG149" s="314"/>
      <c r="AH149" s="8"/>
      <c r="AI149" s="8"/>
    </row>
    <row r="150" ht="12.75" customHeight="1" spans="1:35" x14ac:dyDescent="0.25">
      <c r="A150" s="8"/>
      <c r="B150" s="8"/>
      <c r="C150" s="540" t="s">
        <v>491</v>
      </c>
      <c r="D150" s="541"/>
      <c r="E150" s="541"/>
      <c r="F150" s="542"/>
      <c r="G150" s="543"/>
      <c r="H150" s="543"/>
      <c r="I150" s="543"/>
      <c r="J150" s="543"/>
      <c r="K150" s="543"/>
      <c r="L150" s="543"/>
      <c r="M150" s="543"/>
      <c r="N150" s="543"/>
      <c r="O150" s="543"/>
      <c r="P150" s="543"/>
      <c r="Q150" s="543"/>
      <c r="R150" s="543"/>
      <c r="S150" s="543"/>
      <c r="T150" s="543"/>
      <c r="U150" s="543"/>
      <c r="V150" s="543"/>
      <c r="W150" s="543"/>
      <c r="X150" s="543"/>
      <c r="Y150" s="543"/>
      <c r="Z150" s="543"/>
      <c r="AA150" s="543"/>
      <c r="AB150" s="543"/>
      <c r="AC150" s="543"/>
      <c r="AD150" s="543"/>
      <c r="AE150" s="543"/>
      <c r="AF150" s="543"/>
      <c r="AG150" s="544"/>
      <c r="AH150" s="8"/>
      <c r="AI150" s="8"/>
    </row>
    <row r="151" ht="12.75" customHeight="1" spans="1:35" x14ac:dyDescent="0.25">
      <c r="A151" s="8"/>
      <c r="B151" s="8"/>
      <c r="C151" s="8"/>
      <c r="D151" s="8"/>
      <c r="E151" s="8"/>
      <c r="F151" s="394"/>
      <c r="G151" s="394"/>
      <c r="H151" s="394"/>
      <c r="I151" s="394"/>
      <c r="J151" s="395"/>
      <c r="K151" s="394"/>
      <c r="L151" s="394"/>
      <c r="M151" s="394"/>
      <c r="N151" s="394"/>
      <c r="O151" s="395"/>
      <c r="P151" s="394"/>
      <c r="Q151" s="394"/>
      <c r="R151" s="394"/>
      <c r="S151" s="394"/>
      <c r="T151" s="395"/>
      <c r="U151" s="395"/>
      <c r="V151" s="395"/>
      <c r="W151" s="395"/>
      <c r="X151" s="395"/>
      <c r="Y151" s="395"/>
      <c r="Z151" s="395"/>
      <c r="AA151" s="395"/>
      <c r="AB151" s="395"/>
      <c r="AC151" s="395"/>
      <c r="AD151" s="395"/>
      <c r="AE151" s="160"/>
      <c r="AF151" s="160"/>
      <c r="AG151" s="160"/>
      <c r="AH151" s="8"/>
      <c r="AI151" s="8"/>
    </row>
    <row r="152" ht="12.75" customHeight="1" spans="1:35" x14ac:dyDescent="0.25">
      <c r="A152" s="8"/>
      <c r="B152" s="8"/>
      <c r="C152" s="442" t="str">
        <f>Model!C311</f>
        <v>Issuance of Debt</v>
      </c>
      <c r="D152" s="8"/>
      <c r="E152" s="8"/>
      <c r="F152" s="348">
        <f>Model!F311</f>
        <v>0</v>
      </c>
      <c r="G152" s="348">
        <f>Model!G311</f>
        <v>0</v>
      </c>
      <c r="H152" s="348">
        <f>Model!H311</f>
        <v>0</v>
      </c>
      <c r="I152" s="348">
        <f>Model!I311</f>
        <v>0</v>
      </c>
      <c r="J152" s="275">
        <f>F152</f>
        <v>0</v>
      </c>
      <c r="K152" s="348">
        <f>Model!K311</f>
        <v>0</v>
      </c>
      <c r="L152" s="348">
        <f>Model!L311</f>
        <v>0</v>
      </c>
      <c r="M152" s="348">
        <f>Model!M311</f>
        <v>0</v>
      </c>
      <c r="N152" s="348">
        <f>Model!N311</f>
        <v>0</v>
      </c>
      <c r="O152" s="275">
        <f>K152</f>
        <v>0</v>
      </c>
      <c r="P152" s="348">
        <f>Model!P311</f>
        <v>0</v>
      </c>
      <c r="Q152" s="348">
        <f>Model!Q311</f>
        <v>0</v>
      </c>
      <c r="R152" s="348">
        <f>Model!R311</f>
        <v>0</v>
      </c>
      <c r="S152" s="348">
        <f>Model!S311</f>
        <v>0</v>
      </c>
      <c r="T152" s="275">
        <f>P152</f>
        <v>0</v>
      </c>
      <c r="U152" s="551">
        <f>IF(Case_Scenario="Bull",U153,IF(Case_Scenario="Base",U154,IF(Case_Scenario="bear",U155,"N/A")))</f>
        <v>600</v>
      </c>
      <c r="V152" s="551">
        <f>IF(Case_Scenario="Bull",V153,IF(Case_Scenario="Base",V154,IF(Case_Scenario="bear",V155,"N/A")))</f>
        <v>0</v>
      </c>
      <c r="W152" s="551">
        <f>IF(Case_Scenario="Bull",W153,IF(Case_Scenario="Base",W154,IF(Case_Scenario="bear",W155,"N/A")))</f>
        <v>0</v>
      </c>
      <c r="X152" s="551">
        <f>IF(Case_Scenario="Bull",X153,IF(Case_Scenario="Base",X154,IF(Case_Scenario="bear",X155,"N/A")))</f>
        <v>250</v>
      </c>
      <c r="Y152" s="275">
        <f>SUM(U152:X152)</f>
        <v>850</v>
      </c>
      <c r="Z152" s="551">
        <f>IF(Case_Scenario="Bull",Z153,IF(Case_Scenario="Base",Z154,IF(Case_Scenario="bear",Z155,"N/A")))</f>
        <v>600</v>
      </c>
      <c r="AA152" s="551">
        <f>IF(Case_Scenario="Bull",AA153,IF(Case_Scenario="Base",AA154,IF(Case_Scenario="bear",AA155,"N/A")))</f>
        <v>0</v>
      </c>
      <c r="AB152" s="551">
        <f>IF(Case_Scenario="Bull",AB153,IF(Case_Scenario="Base",AB154,IF(Case_Scenario="bear",AB155,"N/A")))</f>
        <v>0</v>
      </c>
      <c r="AC152" s="551">
        <f>IF(Case_Scenario="Bull",AC153,IF(Case_Scenario="Base",AC154,IF(Case_Scenario="bear",AC155,"N/A")))</f>
        <v>0</v>
      </c>
      <c r="AD152" s="275">
        <f>SUM(Z152:AC152)</f>
        <v>600</v>
      </c>
      <c r="AE152" s="551">
        <f>IF(Case_Scenario="Bull",AE153,IF(Case_Scenario="Base",AE154,IF(Case_Scenario="bear",AE155,"N/A")))</f>
        <v>600</v>
      </c>
      <c r="AF152" s="551">
        <f>IF(Case_Scenario="Bull",AF153,IF(Case_Scenario="Base",AF154,IF(Case_Scenario="bear",AF155,"N/A")))</f>
        <v>0</v>
      </c>
      <c r="AG152" s="551">
        <f>IF(Case_Scenario="Bull",AG153,IF(Case_Scenario="Base",AG154,IF(Case_Scenario="bear",AG155,"N/A")))</f>
        <v>0</v>
      </c>
      <c r="AH152" s="8"/>
      <c r="AI152" s="8"/>
    </row>
    <row r="153" ht="12.75" customHeight="1" spans="1:35" x14ac:dyDescent="0.25">
      <c r="A153" s="8"/>
      <c r="B153" s="8"/>
      <c r="C153" s="130" t="s">
        <v>249</v>
      </c>
      <c r="D153" s="8"/>
      <c r="E153" s="8"/>
      <c r="F153" s="394"/>
      <c r="G153" s="394"/>
      <c r="H153" s="394"/>
      <c r="I153" s="394"/>
      <c r="J153" s="395"/>
      <c r="K153" s="394"/>
      <c r="L153" s="394"/>
      <c r="M153" s="394"/>
      <c r="N153" s="394"/>
      <c r="O153" s="395"/>
      <c r="P153" s="394"/>
      <c r="Q153" s="394"/>
      <c r="R153" s="394"/>
      <c r="S153" s="394"/>
      <c r="T153" s="395"/>
      <c r="U153" s="552">
        <f>U154</f>
        <v>600</v>
      </c>
      <c r="V153" s="552">
        <f>V154</f>
        <v>0</v>
      </c>
      <c r="W153" s="552">
        <f>W154</f>
        <v>0</v>
      </c>
      <c r="X153" s="552">
        <f>X154</f>
        <v>250</v>
      </c>
      <c r="Y153" s="395"/>
      <c r="Z153" s="552">
        <f>Z154</f>
        <v>600</v>
      </c>
      <c r="AA153" s="552">
        <f>AA154</f>
        <v>0</v>
      </c>
      <c r="AB153" s="552">
        <f>AB154</f>
        <v>0</v>
      </c>
      <c r="AC153" s="552">
        <f>AC154</f>
        <v>0</v>
      </c>
      <c r="AD153" s="395"/>
      <c r="AE153" s="552">
        <f>AE154</f>
        <v>600</v>
      </c>
      <c r="AF153" s="552">
        <f>AF154</f>
        <v>0</v>
      </c>
      <c r="AG153" s="552">
        <f>AG154</f>
        <v>0</v>
      </c>
      <c r="AH153" s="8"/>
      <c r="AI153" s="8"/>
    </row>
    <row r="154" ht="12.75" customHeight="1" spans="1:35" x14ac:dyDescent="0.25">
      <c r="A154" s="8"/>
      <c r="B154" s="8"/>
      <c r="C154" s="130" t="s">
        <v>250</v>
      </c>
      <c r="D154" s="8"/>
      <c r="E154" s="8"/>
      <c r="F154" s="394"/>
      <c r="G154" s="394"/>
      <c r="H154" s="394"/>
      <c r="I154" s="394"/>
      <c r="J154" s="395"/>
      <c r="K154" s="394"/>
      <c r="L154" s="394"/>
      <c r="M154" s="394"/>
      <c r="N154" s="394"/>
      <c r="O154" s="395"/>
      <c r="P154" s="394"/>
      <c r="Q154" s="394"/>
      <c r="R154" s="394"/>
      <c r="S154" s="394"/>
      <c r="T154" s="395"/>
      <c r="U154" s="552">
        <v>600</v>
      </c>
      <c r="V154" s="552">
        <v>0</v>
      </c>
      <c r="W154" s="552">
        <v>0</v>
      </c>
      <c r="X154" s="552">
        <v>250</v>
      </c>
      <c r="Y154" s="395"/>
      <c r="Z154" s="552">
        <v>600</v>
      </c>
      <c r="AA154" s="552">
        <v>0</v>
      </c>
      <c r="AB154" s="552">
        <v>0</v>
      </c>
      <c r="AC154" s="552">
        <v>0</v>
      </c>
      <c r="AD154" s="395"/>
      <c r="AE154" s="552">
        <v>600</v>
      </c>
      <c r="AF154" s="552">
        <v>0</v>
      </c>
      <c r="AG154" s="552">
        <v>0</v>
      </c>
      <c r="AH154" s="8"/>
      <c r="AI154" s="8"/>
    </row>
    <row r="155" ht="12.75" customHeight="1" spans="1:35" x14ac:dyDescent="0.25">
      <c r="A155" s="8"/>
      <c r="B155" s="8"/>
      <c r="C155" s="130" t="s">
        <v>251</v>
      </c>
      <c r="D155" s="8"/>
      <c r="E155" s="8"/>
      <c r="F155" s="394"/>
      <c r="G155" s="394"/>
      <c r="H155" s="394"/>
      <c r="I155" s="394"/>
      <c r="J155" s="395"/>
      <c r="K155" s="394"/>
      <c r="L155" s="394"/>
      <c r="M155" s="394"/>
      <c r="N155" s="394"/>
      <c r="O155" s="395"/>
      <c r="P155" s="394"/>
      <c r="Q155" s="394"/>
      <c r="R155" s="394"/>
      <c r="S155" s="394"/>
      <c r="T155" s="395"/>
      <c r="U155" s="552">
        <f>U154</f>
        <v>600</v>
      </c>
      <c r="V155" s="552">
        <f>V154</f>
        <v>0</v>
      </c>
      <c r="W155" s="552">
        <f>W154</f>
        <v>0</v>
      </c>
      <c r="X155" s="552">
        <f>X154</f>
        <v>250</v>
      </c>
      <c r="Y155" s="395"/>
      <c r="Z155" s="552">
        <f>Z154</f>
        <v>600</v>
      </c>
      <c r="AA155" s="552">
        <f>AA154</f>
        <v>0</v>
      </c>
      <c r="AB155" s="552">
        <f>AB154</f>
        <v>0</v>
      </c>
      <c r="AC155" s="552">
        <f>AC154</f>
        <v>0</v>
      </c>
      <c r="AD155" s="395"/>
      <c r="AE155" s="552">
        <f>AE154</f>
        <v>600</v>
      </c>
      <c r="AF155" s="552">
        <f>AF154</f>
        <v>0</v>
      </c>
      <c r="AG155" s="552">
        <f>AG154</f>
        <v>0</v>
      </c>
      <c r="AH155" s="8"/>
      <c r="AI155" s="8"/>
    </row>
    <row r="156" ht="12.75" customHeight="1" spans="1:35" x14ac:dyDescent="0.25">
      <c r="A156" s="8"/>
      <c r="B156" s="8"/>
      <c r="C156" s="130"/>
      <c r="D156" s="8"/>
      <c r="E156" s="8"/>
      <c r="F156" s="394"/>
      <c r="G156" s="394"/>
      <c r="H156" s="394"/>
      <c r="I156" s="394"/>
      <c r="J156" s="395"/>
      <c r="K156" s="394"/>
      <c r="L156" s="394"/>
      <c r="M156" s="394"/>
      <c r="N156" s="394"/>
      <c r="O156" s="395"/>
      <c r="P156" s="394"/>
      <c r="Q156" s="394"/>
      <c r="R156" s="394"/>
      <c r="S156" s="394"/>
      <c r="T156" s="395"/>
      <c r="U156" s="552"/>
      <c r="V156" s="552"/>
      <c r="W156" s="552"/>
      <c r="X156" s="552"/>
      <c r="Y156" s="395"/>
      <c r="Z156" s="552"/>
      <c r="AA156" s="552"/>
      <c r="AB156" s="552"/>
      <c r="AC156" s="552"/>
      <c r="AD156" s="395"/>
      <c r="AE156" s="553"/>
      <c r="AF156" s="553"/>
      <c r="AG156" s="553"/>
      <c r="AH156" s="8"/>
      <c r="AI156" s="8"/>
    </row>
    <row r="157" ht="12.75" customHeight="1" spans="1:35" x14ac:dyDescent="0.25">
      <c r="A157" s="8"/>
      <c r="B157" s="8"/>
      <c r="C157" s="442" t="str">
        <f>Model!C312</f>
        <v>Repayment of Debt</v>
      </c>
      <c r="D157" s="8"/>
      <c r="E157" s="8"/>
      <c r="F157" s="348">
        <f>Model!F312</f>
        <v>0</v>
      </c>
      <c r="G157" s="348">
        <f>Model!G312</f>
        <v>0</v>
      </c>
      <c r="H157" s="348">
        <f>Model!H312</f>
        <v>0</v>
      </c>
      <c r="I157" s="348">
        <f>Model!I312</f>
        <v>0</v>
      </c>
      <c r="J157" s="275">
        <f>Model!J312</f>
        <v>0</v>
      </c>
      <c r="K157" s="348">
        <f>Model!K312</f>
        <v>0</v>
      </c>
      <c r="L157" s="348">
        <f>Model!L312</f>
        <v>0</v>
      </c>
      <c r="M157" s="348">
        <f>Model!M312</f>
        <v>0</v>
      </c>
      <c r="N157" s="348">
        <f>Model!N312</f>
        <v>0</v>
      </c>
      <c r="O157" s="275">
        <f>Model!O312</f>
        <v>0</v>
      </c>
      <c r="P157" s="348">
        <f>Model!P312</f>
        <v>0</v>
      </c>
      <c r="Q157" s="348">
        <f>Model!Q312</f>
        <v>0</v>
      </c>
      <c r="R157" s="348">
        <f>Model!R312</f>
        <v>0</v>
      </c>
      <c r="S157" s="348">
        <f>Model!S312</f>
        <v>0</v>
      </c>
      <c r="T157" s="275">
        <f>Model!T312</f>
        <v>0</v>
      </c>
      <c r="U157" s="280">
        <f>IF(Case_Scenario="Bull",U158,IF(Case_Scenario="Base",U159,IF(Case_Scenario="bear",U160,"N/A")))</f>
        <v>-600</v>
      </c>
      <c r="V157" s="280">
        <f>IF(Case_Scenario="Bull",V158,IF(Case_Scenario="Base",V159,IF(Case_Scenario="bear",V160,"N/A")))</f>
        <v>-600</v>
      </c>
      <c r="W157" s="280">
        <f>IF(Case_Scenario="Bull",W158,IF(Case_Scenario="Base",W159,IF(Case_Scenario="bear",W160,"N/A")))</f>
        <v>-600</v>
      </c>
      <c r="X157" s="280">
        <f>IF(Case_Scenario="Bull",X158,IF(Case_Scenario="Base",X159,IF(Case_Scenario="bear",X160,"N/A")))</f>
        <v>0</v>
      </c>
      <c r="Y157" s="275">
        <f>SUM(U157:X157)</f>
        <v>-1800</v>
      </c>
      <c r="Z157" s="280">
        <f>IF(Case_Scenario="Bull",Z158,IF(Case_Scenario="Base",Z159,IF(Case_Scenario="bear",Z160,"N/A")))</f>
        <v>-600</v>
      </c>
      <c r="AA157" s="280">
        <f>IF(Case_Scenario="Bull",AA158,IF(Case_Scenario="Base",AA159,IF(Case_Scenario="bear",AA160,"N/A")))</f>
        <v>-600</v>
      </c>
      <c r="AB157" s="280">
        <f>IF(Case_Scenario="Bull",AB158,IF(Case_Scenario="Base",AB159,IF(Case_Scenario="bear",AB160,"N/A")))</f>
        <v>-600</v>
      </c>
      <c r="AC157" s="280">
        <f>IF(Case_Scenario="Bull",AC158,IF(Case_Scenario="Base",AC159,IF(Case_Scenario="bear",AC160,"N/A")))</f>
        <v>-600</v>
      </c>
      <c r="AD157" s="275">
        <f>SUM(Z157:AC157)</f>
        <v>-2400</v>
      </c>
      <c r="AE157" s="280">
        <f>IF(Case_Scenario="Bull",AE158,IF(Case_Scenario="Base",AE159,IF(Case_Scenario="bear",AE160,"N/A")))</f>
        <v>-600</v>
      </c>
      <c r="AF157" s="280">
        <f>IF(Case_Scenario="Bull",AF158,IF(Case_Scenario="Base",AF159,IF(Case_Scenario="bear",AF160,"N/A")))</f>
        <v>-600</v>
      </c>
      <c r="AG157" s="280">
        <f>IF(Case_Scenario="Bull",AG158,IF(Case_Scenario="Base",AG159,IF(Case_Scenario="bear",AG160,"N/A")))</f>
        <v>-600</v>
      </c>
      <c r="AH157" s="8"/>
      <c r="AI157" s="8"/>
    </row>
    <row r="158" ht="12.75" customHeight="1" spans="1:35" x14ac:dyDescent="0.25">
      <c r="A158" s="8"/>
      <c r="B158" s="8"/>
      <c r="C158" s="130" t="s">
        <v>249</v>
      </c>
      <c r="D158" s="8"/>
      <c r="E158" s="8"/>
      <c r="F158" s="394"/>
      <c r="G158" s="394"/>
      <c r="H158" s="394"/>
      <c r="I158" s="394"/>
      <c r="J158" s="395"/>
      <c r="K158" s="394"/>
      <c r="L158" s="394"/>
      <c r="M158" s="394"/>
      <c r="N158" s="394"/>
      <c r="O158" s="395"/>
      <c r="P158" s="394"/>
      <c r="Q158" s="394"/>
      <c r="R158" s="394"/>
      <c r="S158" s="394"/>
      <c r="T158" s="395"/>
      <c r="U158" s="554">
        <v>-600</v>
      </c>
      <c r="V158" s="554">
        <v>-600</v>
      </c>
      <c r="W158" s="554">
        <f>W159</f>
        <v>-600</v>
      </c>
      <c r="X158" s="554">
        <v>0</v>
      </c>
      <c r="Y158" s="395"/>
      <c r="Z158" s="554">
        <v>-600</v>
      </c>
      <c r="AA158" s="554">
        <v>-600</v>
      </c>
      <c r="AB158" s="554">
        <f>AB159</f>
        <v>-600</v>
      </c>
      <c r="AC158" s="554">
        <v>-600</v>
      </c>
      <c r="AD158" s="395"/>
      <c r="AE158" s="554">
        <f>AE159</f>
        <v>-600</v>
      </c>
      <c r="AF158" s="554">
        <f>AF159</f>
        <v>-600</v>
      </c>
      <c r="AG158" s="554">
        <f>AG159</f>
        <v>-600</v>
      </c>
      <c r="AH158" s="8"/>
      <c r="AI158" s="8"/>
    </row>
    <row r="159" ht="12.75" customHeight="1" spans="1:35" x14ac:dyDescent="0.25">
      <c r="A159" s="8"/>
      <c r="B159" s="8"/>
      <c r="C159" s="130" t="s">
        <v>250</v>
      </c>
      <c r="D159" s="8"/>
      <c r="E159" s="8"/>
      <c r="F159" s="394"/>
      <c r="G159" s="394"/>
      <c r="H159" s="394"/>
      <c r="I159" s="394"/>
      <c r="J159" s="395"/>
      <c r="K159" s="394"/>
      <c r="L159" s="394"/>
      <c r="M159" s="394"/>
      <c r="N159" s="394"/>
      <c r="O159" s="395"/>
      <c r="P159" s="394"/>
      <c r="Q159" s="394"/>
      <c r="R159" s="394"/>
      <c r="S159" s="394"/>
      <c r="T159" s="395"/>
      <c r="U159" s="554">
        <v>-600</v>
      </c>
      <c r="V159" s="554">
        <v>-600</v>
      </c>
      <c r="W159" s="554">
        <v>-600</v>
      </c>
      <c r="X159" s="554">
        <v>0</v>
      </c>
      <c r="Y159" s="395"/>
      <c r="Z159" s="554">
        <v>-600</v>
      </c>
      <c r="AA159" s="554">
        <v>-600</v>
      </c>
      <c r="AB159" s="554">
        <v>-600</v>
      </c>
      <c r="AC159" s="554">
        <v>-600</v>
      </c>
      <c r="AD159" s="395"/>
      <c r="AE159" s="554">
        <v>-600</v>
      </c>
      <c r="AF159" s="554">
        <v>-600</v>
      </c>
      <c r="AG159" s="554">
        <v>-600</v>
      </c>
      <c r="AH159" s="8"/>
      <c r="AI159" s="8"/>
    </row>
    <row r="160" ht="12.75" customHeight="1" spans="1:35" x14ac:dyDescent="0.25">
      <c r="A160" s="8"/>
      <c r="B160" s="8"/>
      <c r="C160" s="130" t="s">
        <v>251</v>
      </c>
      <c r="D160" s="8"/>
      <c r="E160" s="8"/>
      <c r="F160" s="394"/>
      <c r="G160" s="394"/>
      <c r="H160" s="394"/>
      <c r="I160" s="394"/>
      <c r="J160" s="395"/>
      <c r="K160" s="394"/>
      <c r="L160" s="394"/>
      <c r="M160" s="394"/>
      <c r="N160" s="394"/>
      <c r="O160" s="395"/>
      <c r="P160" s="394"/>
      <c r="Q160" s="394"/>
      <c r="R160" s="394"/>
      <c r="S160" s="394"/>
      <c r="T160" s="395"/>
      <c r="U160" s="554">
        <v>0</v>
      </c>
      <c r="V160" s="554">
        <v>0</v>
      </c>
      <c r="W160" s="554">
        <f>W159</f>
        <v>-600</v>
      </c>
      <c r="X160" s="554">
        <v>0</v>
      </c>
      <c r="Y160" s="395"/>
      <c r="Z160" s="554">
        <v>0</v>
      </c>
      <c r="AA160" s="554">
        <v>0</v>
      </c>
      <c r="AB160" s="554">
        <f>AB159</f>
        <v>-600</v>
      </c>
      <c r="AC160" s="554">
        <v>0</v>
      </c>
      <c r="AD160" s="395"/>
      <c r="AE160" s="554">
        <f>AE159</f>
        <v>-600</v>
      </c>
      <c r="AF160" s="554">
        <f>AF159</f>
        <v>-600</v>
      </c>
      <c r="AG160" s="554">
        <f>AG159</f>
        <v>-600</v>
      </c>
      <c r="AH160" s="8"/>
      <c r="AI160" s="8"/>
    </row>
    <row r="161" ht="12.75" customHeight="1" spans="1:35" x14ac:dyDescent="0.25">
      <c r="A161" s="8"/>
      <c r="B161" s="8"/>
      <c r="C161" s="130"/>
      <c r="D161" s="8"/>
      <c r="E161" s="8"/>
      <c r="F161" s="394"/>
      <c r="G161" s="394"/>
      <c r="H161" s="394"/>
      <c r="I161" s="394"/>
      <c r="J161" s="395"/>
      <c r="K161" s="394"/>
      <c r="L161" s="394"/>
      <c r="M161" s="394"/>
      <c r="N161" s="394"/>
      <c r="O161" s="395"/>
      <c r="P161" s="394"/>
      <c r="Q161" s="394"/>
      <c r="R161" s="394"/>
      <c r="S161" s="394"/>
      <c r="T161" s="395"/>
      <c r="U161" s="554"/>
      <c r="V161" s="554"/>
      <c r="W161" s="554"/>
      <c r="X161" s="554"/>
      <c r="Y161" s="395"/>
      <c r="Z161" s="554"/>
      <c r="AA161" s="554"/>
      <c r="AB161" s="554"/>
      <c r="AC161" s="554"/>
      <c r="AD161" s="395"/>
      <c r="AE161" s="554"/>
      <c r="AF161" s="554"/>
      <c r="AG161" s="554"/>
      <c r="AH161" s="8"/>
      <c r="AI161" s="8"/>
    </row>
    <row r="162" ht="12.75" customHeight="1" spans="1:35" x14ac:dyDescent="0.25">
      <c r="A162" s="8"/>
      <c r="B162" s="8"/>
      <c r="C162" s="345" t="s">
        <v>492</v>
      </c>
      <c r="D162" s="390"/>
      <c r="E162" s="390"/>
      <c r="F162" s="346" t="str">
        <f>Model!F$25</f>
        <v>1Q23</v>
      </c>
      <c r="G162" s="186" t="str">
        <f>Model!G$25</f>
        <v>2Q23</v>
      </c>
      <c r="H162" s="186" t="str">
        <f>Model!H$25</f>
        <v>3Q23</v>
      </c>
      <c r="I162" s="186" t="str">
        <f>Model!I$25</f>
        <v>4Q23</v>
      </c>
      <c r="J162" s="186">
        <f>Model!J$25</f>
        <v>2023</v>
      </c>
      <c r="K162" s="186" t="str">
        <f>Model!K$25</f>
        <v>1Q24</v>
      </c>
      <c r="L162" s="186" t="str">
        <f>Model!L$25</f>
        <v>2Q24</v>
      </c>
      <c r="M162" s="186" t="str">
        <f>Model!M$25</f>
        <v>3Q24</v>
      </c>
      <c r="N162" s="186" t="str">
        <f>Model!N$25</f>
        <v>4Q24</v>
      </c>
      <c r="O162" s="186">
        <f>Model!O$25</f>
        <v>2024</v>
      </c>
      <c r="P162" s="186" t="str">
        <f>Model!P$25</f>
        <v>1Q25</v>
      </c>
      <c r="Q162" s="186" t="str">
        <f>Model!Q$25</f>
        <v>2Q25</v>
      </c>
      <c r="R162" s="186" t="str">
        <f>Model!R$25</f>
        <v>3Q25</v>
      </c>
      <c r="S162" s="186" t="str">
        <f>Model!S$25</f>
        <v>4Q25</v>
      </c>
      <c r="T162" s="186">
        <f>Model!T$25</f>
        <v>2025</v>
      </c>
      <c r="U162" s="186" t="str">
        <f>Model!U$25</f>
        <v>1Q26e</v>
      </c>
      <c r="V162" s="186" t="str">
        <f>Model!V$25</f>
        <v>2Q26e</v>
      </c>
      <c r="W162" s="186" t="str">
        <f>Model!W$25</f>
        <v>3Q26</v>
      </c>
      <c r="X162" s="186" t="str">
        <f>Model!X$25</f>
        <v>4Q26e</v>
      </c>
      <c r="Y162" s="186" t="str">
        <f>Model!Y$25</f>
        <v>2026e</v>
      </c>
      <c r="Z162" s="186" t="str">
        <f>Model!Z$25</f>
        <v>1Q27e</v>
      </c>
      <c r="AA162" s="186" t="str">
        <f>Model!AA$25</f>
        <v>2Q27e</v>
      </c>
      <c r="AB162" s="186" t="str">
        <f>Model!AB$25</f>
        <v>3Q27e</v>
      </c>
      <c r="AC162" s="186" t="str">
        <f>Model!AC$25</f>
        <v>4Q27e</v>
      </c>
      <c r="AD162" s="186" t="str">
        <f>Model!AD$25</f>
        <v>2027e</v>
      </c>
      <c r="AE162" s="186" t="str">
        <f>Model!AE$25</f>
        <v>2028e</v>
      </c>
      <c r="AF162" s="186" t="str">
        <f>Model!AF$25</f>
        <v>2029e</v>
      </c>
      <c r="AG162" s="347" t="str">
        <f>Model!AG$25</f>
        <v>2030e</v>
      </c>
      <c r="AH162" s="8"/>
      <c r="AI162" s="8"/>
    </row>
    <row r="163" ht="12.75" customHeight="1" spans="1:35" x14ac:dyDescent="0.25">
      <c r="A163" s="8"/>
      <c r="B163" s="8"/>
      <c r="C163" s="540" t="s">
        <v>493</v>
      </c>
      <c r="D163" s="541"/>
      <c r="E163" s="541"/>
      <c r="F163" s="542"/>
      <c r="G163" s="543"/>
      <c r="H163" s="543"/>
      <c r="I163" s="543"/>
      <c r="J163" s="543"/>
      <c r="K163" s="543"/>
      <c r="L163" s="543"/>
      <c r="M163" s="543"/>
      <c r="N163" s="543"/>
      <c r="O163" s="543"/>
      <c r="P163" s="543"/>
      <c r="Q163" s="543"/>
      <c r="R163" s="543"/>
      <c r="S163" s="543"/>
      <c r="T163" s="543"/>
      <c r="U163" s="543"/>
      <c r="V163" s="543"/>
      <c r="W163" s="543"/>
      <c r="X163" s="543"/>
      <c r="Y163" s="543"/>
      <c r="Z163" s="543"/>
      <c r="AA163" s="543"/>
      <c r="AB163" s="543"/>
      <c r="AC163" s="543"/>
      <c r="AD163" s="543"/>
      <c r="AE163" s="543"/>
      <c r="AF163" s="543"/>
      <c r="AG163" s="544"/>
      <c r="AH163" s="8"/>
      <c r="AI163" s="8"/>
    </row>
    <row r="164" ht="12.75" customHeight="1" spans="1:35" x14ac:dyDescent="0.25">
      <c r="A164" s="8"/>
      <c r="B164" s="8"/>
      <c r="C164" s="130"/>
      <c r="D164" s="8"/>
      <c r="E164" s="8"/>
      <c r="F164" s="394"/>
      <c r="G164" s="394"/>
      <c r="H164" s="394"/>
      <c r="I164" s="394"/>
      <c r="J164" s="395"/>
      <c r="K164" s="394"/>
      <c r="L164" s="394"/>
      <c r="M164" s="394"/>
      <c r="N164" s="394"/>
      <c r="O164" s="395"/>
      <c r="P164" s="394"/>
      <c r="Q164" s="394"/>
      <c r="R164" s="394"/>
      <c r="S164" s="394"/>
      <c r="T164" s="395"/>
      <c r="U164" s="554"/>
      <c r="V164" s="554"/>
      <c r="W164" s="554"/>
      <c r="X164" s="554"/>
      <c r="Y164" s="395"/>
      <c r="Z164" s="554"/>
      <c r="AA164" s="554"/>
      <c r="AB164" s="554"/>
      <c r="AC164" s="554"/>
      <c r="AD164" s="395"/>
      <c r="AE164" s="554"/>
      <c r="AF164" s="554"/>
      <c r="AG164" s="554"/>
      <c r="AH164" s="8"/>
      <c r="AI164" s="8"/>
    </row>
    <row r="165" ht="12.75" customHeight="1" spans="1:35" x14ac:dyDescent="0.25">
      <c r="A165" s="8"/>
      <c r="B165" s="8"/>
      <c r="C165" s="442" t="str">
        <f>Model!C275</f>
        <v>Share Repurchase Guidance</v>
      </c>
      <c r="D165" s="8"/>
      <c r="E165" s="8"/>
      <c r="F165" s="348">
        <f>Model!F275</f>
        <v>0</v>
      </c>
      <c r="G165" s="348">
        <f>Model!G275</f>
        <v>0</v>
      </c>
      <c r="H165" s="348">
        <f>Model!H275</f>
        <v>0</v>
      </c>
      <c r="I165" s="348">
        <f>Model!I275</f>
        <v>0</v>
      </c>
      <c r="J165" s="275">
        <f>Model!J275</f>
        <v>0</v>
      </c>
      <c r="K165" s="348">
        <f>Model!K275</f>
        <v>0</v>
      </c>
      <c r="L165" s="348">
        <f>Model!L275</f>
        <v>0</v>
      </c>
      <c r="M165" s="348">
        <f>Model!M275</f>
        <v>0</v>
      </c>
      <c r="N165" s="348">
        <f>Model!N275</f>
        <v>0</v>
      </c>
      <c r="O165" s="275">
        <f>Model!O275</f>
        <v>0</v>
      </c>
      <c r="P165" s="348">
        <f>Model!P275</f>
        <v>0</v>
      </c>
      <c r="Q165" s="348">
        <f>Model!Q275</f>
        <v>0</v>
      </c>
      <c r="R165" s="348">
        <f>Model!R275</f>
        <v>0</v>
      </c>
      <c r="S165" s="348">
        <f>Model!S275</f>
        <v>0</v>
      </c>
      <c r="T165" s="275">
        <f>Model!T275</f>
        <v>0</v>
      </c>
      <c r="U165" s="551">
        <f>IF(Case_Scenario="Bull",U166,IF(Case_Scenario="Base",U167,IF(Case_Scenario="bear",U168,"N/A")))</f>
        <v>550</v>
      </c>
      <c r="V165" s="551">
        <f>IF(Case_Scenario="Bull",V166,IF(Case_Scenario="Base",V167,IF(Case_Scenario="bear",V168,"N/A")))</f>
        <v>0</v>
      </c>
      <c r="W165" s="551">
        <f>IF(Case_Scenario="Bull",W166,IF(Case_Scenario="Base",W167,IF(Case_Scenario="bear",W168,"N/A")))</f>
        <v>0</v>
      </c>
      <c r="X165" s="551">
        <f>IF(Case_Scenario="Bull",X166,IF(Case_Scenario="Base",X167,IF(Case_Scenario="bear",X168,"N/A")))</f>
        <v>0</v>
      </c>
      <c r="Y165" s="275">
        <f>SUM(U165:X165)</f>
        <v>550</v>
      </c>
      <c r="Z165" s="551">
        <f>IF(Case_Scenario="Bull",Z166,IF(Case_Scenario="Base",Z167,IF(Case_Scenario="bear",Z168,"N/A")))</f>
        <v>550</v>
      </c>
      <c r="AA165" s="551">
        <f>IF(Case_Scenario="Bull",AA166,IF(Case_Scenario="Base",AA167,IF(Case_Scenario="bear",AA168,"N/A")))</f>
        <v>0</v>
      </c>
      <c r="AB165" s="551">
        <f>IF(Case_Scenario="Bull",AB166,IF(Case_Scenario="Base",AB167,IF(Case_Scenario="bear",AB168,"N/A")))</f>
        <v>0</v>
      </c>
      <c r="AC165" s="551">
        <f>IF(Case_Scenario="Bull",AC166,IF(Case_Scenario="Base",AC167,IF(Case_Scenario="bear",AC168,"N/A")))</f>
        <v>0</v>
      </c>
      <c r="AD165" s="275">
        <f>SUM(Z165:AC165)</f>
        <v>550</v>
      </c>
      <c r="AE165" s="280">
        <f>IF(Case_Scenario="Bull",AE166,IF(Case_Scenario="Base",AE167,IF(Case_Scenario="bear",AE168,"N/A")))</f>
        <v>600</v>
      </c>
      <c r="AF165" s="280">
        <f>IF(Case_Scenario="Bull",AF166,IF(Case_Scenario="Base",AF167,IF(Case_Scenario="bear",AF168,"N/A")))</f>
        <v>650</v>
      </c>
      <c r="AG165" s="280">
        <f>IF(Case_Scenario="Bull",AG166,IF(Case_Scenario="Base",AG167,IF(Case_Scenario="bear",AG168,"N/A")))</f>
        <v>700</v>
      </c>
      <c r="AH165" s="8"/>
      <c r="AI165" s="8"/>
    </row>
    <row r="166" ht="12.75" customHeight="1" spans="1:35" x14ac:dyDescent="0.25">
      <c r="A166" s="8"/>
      <c r="B166" s="8"/>
      <c r="C166" s="130" t="s">
        <v>249</v>
      </c>
      <c r="D166" s="8"/>
      <c r="E166" s="8"/>
      <c r="F166" s="394"/>
      <c r="G166" s="394"/>
      <c r="H166" s="394"/>
      <c r="I166" s="394"/>
      <c r="J166" s="395"/>
      <c r="K166" s="394"/>
      <c r="L166" s="394"/>
      <c r="M166" s="394"/>
      <c r="N166" s="394"/>
      <c r="O166" s="395"/>
      <c r="P166" s="394"/>
      <c r="Q166" s="394"/>
      <c r="R166" s="394"/>
      <c r="S166" s="394"/>
      <c r="T166" s="395"/>
      <c r="U166" s="552">
        <f>U167+20</f>
        <v>570</v>
      </c>
      <c r="V166" s="552">
        <f>V167+20</f>
        <v>20</v>
      </c>
      <c r="W166" s="552">
        <f>W167+20</f>
        <v>20</v>
      </c>
      <c r="X166" s="552">
        <v>0</v>
      </c>
      <c r="Y166" s="395"/>
      <c r="Z166" s="552">
        <f>Z167+20</f>
        <v>570</v>
      </c>
      <c r="AA166" s="552">
        <f>AA167+20</f>
        <v>20</v>
      </c>
      <c r="AB166" s="552">
        <f>AB167+20</f>
        <v>20</v>
      </c>
      <c r="AC166" s="552">
        <f>AC167+20</f>
        <v>20</v>
      </c>
      <c r="AD166" s="395"/>
      <c r="AE166" s="554">
        <f>AE167+300</f>
        <v>900</v>
      </c>
      <c r="AF166" s="554">
        <f>AF167+300</f>
        <v>950</v>
      </c>
      <c r="AG166" s="554">
        <f>AG167+300</f>
        <v>1000</v>
      </c>
      <c r="AH166" s="8"/>
      <c r="AI166" s="8"/>
    </row>
    <row r="167" ht="12.75" customHeight="1" spans="1:35" x14ac:dyDescent="0.25">
      <c r="A167" s="8"/>
      <c r="B167" s="8"/>
      <c r="C167" s="130" t="s">
        <v>250</v>
      </c>
      <c r="D167" s="8"/>
      <c r="E167" s="8"/>
      <c r="F167" s="394"/>
      <c r="G167" s="394"/>
      <c r="H167" s="394"/>
      <c r="I167" s="394"/>
      <c r="J167" s="395"/>
      <c r="K167" s="394"/>
      <c r="L167" s="394"/>
      <c r="M167" s="394"/>
      <c r="N167" s="394"/>
      <c r="O167" s="395"/>
      <c r="P167" s="394"/>
      <c r="Q167" s="394"/>
      <c r="R167" s="394"/>
      <c r="S167" s="394"/>
      <c r="T167" s="395"/>
      <c r="U167" s="552">
        <v>550</v>
      </c>
      <c r="V167" s="552">
        <v>0</v>
      </c>
      <c r="W167" s="552">
        <v>0</v>
      </c>
      <c r="X167" s="552">
        <v>0</v>
      </c>
      <c r="Y167" s="395"/>
      <c r="Z167" s="552">
        <v>550</v>
      </c>
      <c r="AA167" s="552">
        <v>0</v>
      </c>
      <c r="AB167" s="552">
        <v>0</v>
      </c>
      <c r="AC167" s="552">
        <v>0</v>
      </c>
      <c r="AD167" s="395"/>
      <c r="AE167" s="554">
        <v>600</v>
      </c>
      <c r="AF167" s="554">
        <v>650</v>
      </c>
      <c r="AG167" s="554">
        <v>700</v>
      </c>
      <c r="AH167" s="8"/>
      <c r="AI167" s="8"/>
    </row>
    <row r="168" ht="12.75" customHeight="1" spans="1:35" x14ac:dyDescent="0.25">
      <c r="A168" s="8"/>
      <c r="B168" s="8"/>
      <c r="C168" s="130" t="s">
        <v>251</v>
      </c>
      <c r="D168" s="8"/>
      <c r="E168" s="8"/>
      <c r="F168" s="394"/>
      <c r="G168" s="394"/>
      <c r="H168" s="394"/>
      <c r="I168" s="394"/>
      <c r="J168" s="395"/>
      <c r="K168" s="394"/>
      <c r="L168" s="394"/>
      <c r="M168" s="394"/>
      <c r="N168" s="394"/>
      <c r="O168" s="395"/>
      <c r="P168" s="394"/>
      <c r="Q168" s="394"/>
      <c r="R168" s="394"/>
      <c r="S168" s="394"/>
      <c r="T168" s="395"/>
      <c r="U168" s="552">
        <f>U167-20</f>
        <v>530</v>
      </c>
      <c r="V168" s="552">
        <v>0</v>
      </c>
      <c r="W168" s="552">
        <v>0</v>
      </c>
      <c r="X168" s="552">
        <v>0</v>
      </c>
      <c r="Y168" s="395"/>
      <c r="Z168" s="552">
        <f>Z167-20</f>
        <v>530</v>
      </c>
      <c r="AA168" s="552">
        <v>0</v>
      </c>
      <c r="AB168" s="552">
        <v>0</v>
      </c>
      <c r="AC168" s="552">
        <v>0</v>
      </c>
      <c r="AD168" s="395"/>
      <c r="AE168" s="554">
        <f>AE167-300</f>
        <v>300</v>
      </c>
      <c r="AF168" s="554">
        <f>AF167-300</f>
        <v>350</v>
      </c>
      <c r="AG168" s="554">
        <f>AG167-300</f>
        <v>400</v>
      </c>
      <c r="AH168" s="8"/>
      <c r="AI168" s="8"/>
    </row>
    <row r="169" ht="12.75" customHeight="1" spans="1:35" x14ac:dyDescent="0.25">
      <c r="A169" s="8"/>
      <c r="B169" s="8"/>
      <c r="C169" s="8"/>
      <c r="D169" s="8"/>
      <c r="E169" s="8"/>
      <c r="F169" s="417"/>
      <c r="G169" s="417"/>
      <c r="H169" s="417"/>
      <c r="I169" s="417"/>
      <c r="J169" s="418"/>
      <c r="K169" s="417"/>
      <c r="L169" s="417"/>
      <c r="M169" s="417"/>
      <c r="N169" s="417"/>
      <c r="O169" s="418"/>
      <c r="P169" s="417"/>
      <c r="Q169" s="417"/>
      <c r="R169" s="417"/>
      <c r="S169" s="417"/>
      <c r="T169" s="418"/>
      <c r="U169" s="337"/>
      <c r="V169" s="337"/>
      <c r="W169" s="337"/>
      <c r="X169" s="552"/>
      <c r="Y169" s="337"/>
      <c r="Z169" s="337"/>
      <c r="AA169" s="337"/>
      <c r="AB169" s="337"/>
      <c r="AC169" s="337"/>
      <c r="AD169" s="8"/>
      <c r="AE169" s="337"/>
      <c r="AF169" s="337"/>
      <c r="AG169" s="337"/>
      <c r="AH169" s="8"/>
      <c r="AI169" s="8"/>
    </row>
    <row r="170" ht="12.75" customHeight="1" spans="1:35" x14ac:dyDescent="0.25">
      <c r="A170" s="8"/>
      <c r="B170" s="8"/>
      <c r="C170" s="53" t="s">
        <v>260</v>
      </c>
      <c r="D170" s="11"/>
      <c r="E170" s="11"/>
      <c r="F170" s="306"/>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5"/>
      <c r="AH170" s="8"/>
      <c r="AI170" s="8"/>
    </row>
    <row r="171" ht="12.75" customHeight="1" spans="1:3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row>
    <row r="172" ht="12.75" customHeight="1" spans="1:3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row>
    <row r="173" ht="12.75" customHeight="1" spans="1:3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row>
    <row r="174" ht="12.75" customHeight="1" spans="1:3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row>
    <row r="175" ht="12.75" customHeight="1" spans="1:3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1" width="2.5" outlineLevel="1" collapsed="1" customWidth="1"/>
    <col min="2" max="2" width="22.5" outlineLevel="1" collapsed="1" customWidth="1"/>
    <col min="3" max="3" width="1.6640625" customWidth="1"/>
    <col min="4" max="4" width="22.5" customWidth="1"/>
    <col min="5" max="5" width="24.5" customWidth="1"/>
    <col min="6" max="6" width="10.5" customWidth="1"/>
    <col min="7" max="8" width="12.6640625" customWidth="1"/>
    <col min="9" max="9" width="11.6640625" customWidth="1"/>
    <col min="10" max="11" width="10.5" customWidth="1"/>
    <col min="12" max="12" width="12.6640625" customWidth="1"/>
    <col min="13" max="23" width="10.5" customWidth="1"/>
    <col min="24" max="24" width="22.5" outlineLevel="1" collapsed="1" customWidth="1"/>
    <col min="25" max="25" width="1.6640625" customWidth="1"/>
    <col min="26" max="26" width="22.5" outlineLevel="1" collapsed="1" customWidth="1"/>
    <col min="27" max="27" width="8.6640625" outlineLevel="1" collapsed="1" customWidth="1"/>
    <col min="28" max="30" width="10.5" outlineLevel="1" collapsed="1" customWidth="1"/>
    <col min="31" max="31" width="11.6640625" outlineLevel="1" collapsed="1" customWidth="1"/>
    <col min="32" max="44" width="10.5" outlineLevel="1" collapsed="1" customWidth="1"/>
    <col min="45" max="45" width="8.6640625" customWidth="1"/>
    <col min="46" max="46" width="22.5" outlineLevel="1" collapsed="1" customWidth="1"/>
    <col min="47" max="47" width="1.6640625" customWidth="1"/>
    <col min="48" max="48" width="22.5" outlineLevel="1" collapsed="1" customWidth="1"/>
    <col min="49" max="49" width="8.6640625" outlineLevel="1" collapsed="1" customWidth="1"/>
    <col min="50" max="52" width="10.5" outlineLevel="1" collapsed="1" customWidth="1"/>
    <col min="53" max="53" width="11.6640625" outlineLevel="1" collapsed="1" customWidth="1"/>
    <col min="54" max="66" width="10.5" outlineLevel="1" collapsed="1" customWidth="1"/>
  </cols>
  <sheetData>
    <row r="1" ht="21.75" customHeight="1" spans="1:66" x14ac:dyDescent="0.25">
      <c r="A1" s="1"/>
      <c r="B1" s="1"/>
      <c r="C1" s="555"/>
      <c r="D1" s="2" t="str">
        <f>Company_Name&amp;" - Comparable Company Analysis"</f>
        <v>Republic Services,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ht="13.5" customHeight="1" spans="1:66" x14ac:dyDescent="0.25">
      <c r="A2" s="4"/>
      <c r="B2" s="4"/>
      <c r="C2" s="556"/>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0"/>
      <c r="D4" s="83" t="str">
        <f>$D$86</f>
        <v>Primary Peer Group</v>
      </c>
      <c r="E4" s="14"/>
      <c r="F4" s="14"/>
      <c r="G4" s="14"/>
      <c r="H4" s="14"/>
      <c r="I4" s="14"/>
      <c r="J4" s="14"/>
      <c r="K4" s="14"/>
      <c r="L4" s="14"/>
      <c r="M4" s="14"/>
      <c r="N4" s="14"/>
      <c r="O4" s="14"/>
      <c r="P4" s="14"/>
      <c r="Q4" s="14"/>
      <c r="R4" s="14"/>
      <c r="S4" s="14"/>
      <c r="T4" s="14"/>
      <c r="U4" s="14"/>
      <c r="V4" s="15"/>
      <c r="W4" s="8"/>
      <c r="X4" s="4"/>
      <c r="Y4" s="40"/>
      <c r="Z4" s="557" t="str">
        <f>$G$86</f>
        <v>N/A</v>
      </c>
      <c r="AA4" s="14"/>
      <c r="AB4" s="14"/>
      <c r="AC4" s="14"/>
      <c r="AD4" s="14"/>
      <c r="AE4" s="14"/>
      <c r="AF4" s="14"/>
      <c r="AG4" s="14"/>
      <c r="AH4" s="14"/>
      <c r="AI4" s="14"/>
      <c r="AJ4" s="14"/>
      <c r="AK4" s="14"/>
      <c r="AL4" s="14"/>
      <c r="AM4" s="14"/>
      <c r="AN4" s="14"/>
      <c r="AO4" s="14"/>
      <c r="AP4" s="14"/>
      <c r="AQ4" s="14"/>
      <c r="AR4" s="15"/>
      <c r="AS4" s="4"/>
      <c r="AT4" s="4"/>
      <c r="AU4" s="40"/>
      <c r="AV4" s="557" t="str">
        <f>$L$86</f>
        <v>N/A</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1"/>
      <c r="E5" s="558"/>
      <c r="F5" s="558"/>
      <c r="G5" s="558"/>
      <c r="H5" s="558"/>
      <c r="I5" s="558"/>
      <c r="J5" s="558"/>
      <c r="K5" s="558"/>
      <c r="L5" s="191"/>
      <c r="M5" s="558"/>
      <c r="N5" s="558"/>
      <c r="O5" s="558"/>
      <c r="P5" s="191"/>
      <c r="Q5" s="558"/>
      <c r="R5" s="558"/>
      <c r="S5" s="558"/>
      <c r="T5" s="191"/>
      <c r="U5" s="558"/>
      <c r="V5" s="558"/>
      <c r="W5" s="8"/>
      <c r="X5" s="4"/>
      <c r="Y5" s="40"/>
      <c r="Z5" s="559"/>
      <c r="AA5" s="560"/>
      <c r="AB5" s="560"/>
      <c r="AC5" s="560"/>
      <c r="AD5" s="560"/>
      <c r="AE5" s="560"/>
      <c r="AF5" s="560"/>
      <c r="AG5" s="560"/>
      <c r="AH5" s="559"/>
      <c r="AI5" s="560"/>
      <c r="AJ5" s="560"/>
      <c r="AK5" s="560"/>
      <c r="AL5" s="559"/>
      <c r="AM5" s="560"/>
      <c r="AN5" s="560"/>
      <c r="AO5" s="560"/>
      <c r="AP5" s="559"/>
      <c r="AQ5" s="560"/>
      <c r="AR5" s="560"/>
      <c r="AS5" s="4"/>
      <c r="AT5" s="4"/>
      <c r="AU5" s="40"/>
      <c r="AV5" s="559"/>
      <c r="AW5" s="560"/>
      <c r="AX5" s="560"/>
      <c r="AY5" s="560"/>
      <c r="AZ5" s="560"/>
      <c r="BA5" s="560"/>
      <c r="BB5" s="560"/>
      <c r="BC5" s="560"/>
      <c r="BD5" s="559"/>
      <c r="BE5" s="560"/>
      <c r="BF5" s="560"/>
      <c r="BG5" s="560"/>
      <c r="BH5" s="559"/>
      <c r="BI5" s="560"/>
      <c r="BJ5" s="560"/>
      <c r="BK5" s="560"/>
      <c r="BL5" s="559"/>
      <c r="BM5" s="560"/>
      <c r="BN5" s="560"/>
    </row>
    <row r="6" ht="13.5" customHeight="1" spans="1:66" x14ac:dyDescent="0.25">
      <c r="A6" s="4"/>
      <c r="B6" s="4"/>
      <c r="C6" s="40"/>
      <c r="D6" s="8"/>
      <c r="E6" s="8"/>
      <c r="F6" s="8"/>
      <c r="G6" s="8"/>
      <c r="H6" s="8"/>
      <c r="I6" s="8"/>
      <c r="J6" s="8"/>
      <c r="K6" s="8"/>
      <c r="L6" s="8"/>
      <c r="M6" s="8"/>
      <c r="N6" s="8"/>
      <c r="O6" s="8"/>
      <c r="P6" s="8"/>
      <c r="Q6" s="561" t="s">
        <v>597</v>
      </c>
      <c r="R6" s="561"/>
      <c r="S6" s="561"/>
      <c r="T6" s="561"/>
      <c r="U6" s="8"/>
      <c r="V6" s="8"/>
      <c r="W6" s="8"/>
      <c r="X6" s="4"/>
      <c r="Y6" s="40"/>
      <c r="Z6" s="8"/>
      <c r="AA6" s="8"/>
      <c r="AB6" s="8"/>
      <c r="AC6" s="8"/>
      <c r="AD6" s="8"/>
      <c r="AE6" s="8"/>
      <c r="AF6" s="8"/>
      <c r="AG6" s="8"/>
      <c r="AH6" s="8"/>
      <c r="AI6" s="8"/>
      <c r="AJ6" s="8"/>
      <c r="AK6" s="8"/>
      <c r="AL6" s="8"/>
      <c r="AM6" s="561" t="s">
        <v>597</v>
      </c>
      <c r="AN6" s="57"/>
      <c r="AO6" s="57"/>
      <c r="AP6" s="57"/>
      <c r="AQ6" s="8"/>
      <c r="AR6" s="8"/>
      <c r="AS6" s="4"/>
      <c r="AT6" s="4"/>
      <c r="AU6" s="40"/>
      <c r="AV6" s="8"/>
      <c r="AW6" s="8"/>
      <c r="AX6" s="8"/>
      <c r="AY6" s="8"/>
      <c r="AZ6" s="8"/>
      <c r="BA6" s="8"/>
      <c r="BB6" s="8"/>
      <c r="BC6" s="8"/>
      <c r="BD6" s="8"/>
      <c r="BE6" s="8"/>
      <c r="BF6" s="8"/>
      <c r="BG6" s="8"/>
      <c r="BH6" s="8"/>
      <c r="BI6" s="561" t="s">
        <v>597</v>
      </c>
      <c r="BJ6" s="57"/>
      <c r="BK6" s="57"/>
      <c r="BL6" s="57"/>
      <c r="BM6" s="8"/>
      <c r="BN6" s="8"/>
    </row>
    <row r="7" ht="13.5" customHeight="1" spans="1:66" x14ac:dyDescent="0.25">
      <c r="A7" s="4"/>
      <c r="B7" s="4"/>
      <c r="C7" s="40"/>
      <c r="D7" s="75"/>
      <c r="E7" s="75"/>
      <c r="F7" s="75"/>
      <c r="G7" s="75" t="s">
        <v>598</v>
      </c>
      <c r="H7" s="75" t="s">
        <v>599</v>
      </c>
      <c r="I7" s="561" t="s">
        <v>600</v>
      </c>
      <c r="J7" s="561"/>
      <c r="K7" s="561" t="s">
        <v>398</v>
      </c>
      <c r="L7" s="561"/>
      <c r="M7" s="561"/>
      <c r="N7" s="561"/>
      <c r="O7" s="561" t="s">
        <v>601</v>
      </c>
      <c r="P7" s="561"/>
      <c r="Q7" s="561" t="s">
        <v>290</v>
      </c>
      <c r="R7" s="561"/>
      <c r="S7" s="561" t="s">
        <v>600</v>
      </c>
      <c r="T7" s="561"/>
      <c r="U7" s="561" t="s">
        <v>602</v>
      </c>
      <c r="V7" s="561"/>
      <c r="W7" s="8"/>
      <c r="X7" s="4"/>
      <c r="Y7" s="40"/>
      <c r="Z7" s="75"/>
      <c r="AA7" s="75"/>
      <c r="AB7" s="75"/>
      <c r="AC7" s="75" t="s">
        <v>598</v>
      </c>
      <c r="AD7" s="75" t="s">
        <v>599</v>
      </c>
      <c r="AE7" s="561" t="s">
        <v>600</v>
      </c>
      <c r="AF7" s="57"/>
      <c r="AG7" s="561" t="s">
        <v>398</v>
      </c>
      <c r="AH7" s="57"/>
      <c r="AI7" s="561" t="s">
        <v>110</v>
      </c>
      <c r="AJ7" s="57"/>
      <c r="AK7" s="561" t="s">
        <v>601</v>
      </c>
      <c r="AL7" s="57"/>
      <c r="AM7" s="561" t="s">
        <v>290</v>
      </c>
      <c r="AN7" s="57"/>
      <c r="AO7" s="561" t="s">
        <v>600</v>
      </c>
      <c r="AP7" s="57"/>
      <c r="AQ7" s="561" t="s">
        <v>602</v>
      </c>
      <c r="AR7" s="57"/>
      <c r="AS7" s="4"/>
      <c r="AT7" s="4"/>
      <c r="AU7" s="40"/>
      <c r="AV7" s="75"/>
      <c r="AW7" s="75"/>
      <c r="AX7" s="75"/>
      <c r="AY7" s="75" t="s">
        <v>598</v>
      </c>
      <c r="AZ7" s="75" t="s">
        <v>599</v>
      </c>
      <c r="BA7" s="561" t="s">
        <v>600</v>
      </c>
      <c r="BB7" s="57"/>
      <c r="BC7" s="561" t="s">
        <v>398</v>
      </c>
      <c r="BD7" s="57"/>
      <c r="BE7" s="561" t="s">
        <v>110</v>
      </c>
      <c r="BF7" s="57"/>
      <c r="BG7" s="561" t="s">
        <v>601</v>
      </c>
      <c r="BH7" s="57"/>
      <c r="BI7" s="561" t="s">
        <v>290</v>
      </c>
      <c r="BJ7" s="57"/>
      <c r="BK7" s="561" t="s">
        <v>600</v>
      </c>
      <c r="BL7" s="57"/>
      <c r="BM7" s="561" t="s">
        <v>602</v>
      </c>
      <c r="BN7" s="57"/>
    </row>
    <row r="8" ht="13.5" customHeight="1" spans="1:66" x14ac:dyDescent="0.25">
      <c r="A8" s="4"/>
      <c r="B8" s="4"/>
      <c r="C8" s="40"/>
      <c r="D8" s="130"/>
      <c r="E8" s="75"/>
      <c r="F8" s="561" t="s">
        <v>22</v>
      </c>
      <c r="G8" s="561" t="s">
        <v>603</v>
      </c>
      <c r="H8" s="561" t="s">
        <v>63</v>
      </c>
      <c r="I8" s="561" t="s">
        <v>604</v>
      </c>
      <c r="J8" s="562">
        <f>Next_FYE</f>
        <v>46071</v>
      </c>
      <c r="K8" s="561" t="s">
        <v>604</v>
      </c>
      <c r="L8" s="562">
        <f>Next_FYE</f>
        <v>46071</v>
      </c>
      <c r="M8" s="561" t="s">
        <v>604</v>
      </c>
      <c r="N8" s="562">
        <f>Next_FYE</f>
        <v>46071</v>
      </c>
      <c r="O8" s="561" t="s">
        <v>604</v>
      </c>
      <c r="P8" s="562">
        <f>Next_FYE</f>
        <v>46071</v>
      </c>
      <c r="Q8" s="561" t="s">
        <v>604</v>
      </c>
      <c r="R8" s="562">
        <f>Next_FYE</f>
        <v>46071</v>
      </c>
      <c r="S8" s="561" t="s">
        <v>604</v>
      </c>
      <c r="T8" s="562">
        <f>Next_FYE</f>
        <v>46071</v>
      </c>
      <c r="U8" s="561" t="s">
        <v>604</v>
      </c>
      <c r="V8" s="562">
        <f>Next_FYE</f>
        <v>46071</v>
      </c>
      <c r="W8" s="8"/>
      <c r="X8" s="4"/>
      <c r="Y8" s="40"/>
      <c r="Z8" s="130"/>
      <c r="AA8" s="75"/>
      <c r="AB8" s="561" t="s">
        <v>22</v>
      </c>
      <c r="AC8" s="561" t="s">
        <v>603</v>
      </c>
      <c r="AD8" s="561" t="s">
        <v>63</v>
      </c>
      <c r="AE8" s="561" t="s">
        <v>604</v>
      </c>
      <c r="AF8" s="562">
        <f>Next_FYE</f>
        <v>46071</v>
      </c>
      <c r="AG8" s="561" t="str">
        <f>$I$8</f>
        <v>LTM</v>
      </c>
      <c r="AH8" s="562">
        <f>$J$8</f>
        <v>46071</v>
      </c>
      <c r="AI8" s="561" t="str">
        <f>$I$8</f>
        <v>LTM</v>
      </c>
      <c r="AJ8" s="562">
        <f>$J$8</f>
        <v>46071</v>
      </c>
      <c r="AK8" s="561" t="str">
        <f>$I$8</f>
        <v>LTM</v>
      </c>
      <c r="AL8" s="562">
        <f>$J$8</f>
        <v>46071</v>
      </c>
      <c r="AM8" s="561" t="str">
        <f>$I$8</f>
        <v>LTM</v>
      </c>
      <c r="AN8" s="562">
        <f>$J$8</f>
        <v>46071</v>
      </c>
      <c r="AO8" s="561" t="str">
        <f>$I$8</f>
        <v>LTM</v>
      </c>
      <c r="AP8" s="562">
        <f>$J$8</f>
        <v>46071</v>
      </c>
      <c r="AQ8" s="561" t="str">
        <f>$I$8</f>
        <v>LTM</v>
      </c>
      <c r="AR8" s="562">
        <f>$J$8</f>
        <v>46071</v>
      </c>
      <c r="AS8" s="4"/>
      <c r="AT8" s="4"/>
      <c r="AU8" s="40"/>
      <c r="AV8" s="130"/>
      <c r="AW8" s="75"/>
      <c r="AX8" s="561" t="s">
        <v>22</v>
      </c>
      <c r="AY8" s="561" t="s">
        <v>603</v>
      </c>
      <c r="AZ8" s="561" t="s">
        <v>63</v>
      </c>
      <c r="BA8" s="561" t="s">
        <v>604</v>
      </c>
      <c r="BB8" s="562">
        <f>Next_FYE</f>
        <v>46071</v>
      </c>
      <c r="BC8" s="561" t="str">
        <f>$I$8</f>
        <v>LTM</v>
      </c>
      <c r="BD8" s="562">
        <f>$J$8</f>
        <v>46071</v>
      </c>
      <c r="BE8" s="561" t="str">
        <f>$I$8</f>
        <v>LTM</v>
      </c>
      <c r="BF8" s="562">
        <f>$J$8</f>
        <v>46071</v>
      </c>
      <c r="BG8" s="561" t="str">
        <f>$I$8</f>
        <v>LTM</v>
      </c>
      <c r="BH8" s="562">
        <f>$J$8</f>
        <v>46071</v>
      </c>
      <c r="BI8" s="561" t="str">
        <f>$I$8</f>
        <v>LTM</v>
      </c>
      <c r="BJ8" s="562">
        <f>$J$8</f>
        <v>46071</v>
      </c>
      <c r="BK8" s="561" t="str">
        <f>$I$8</f>
        <v>LTM</v>
      </c>
      <c r="BL8" s="562">
        <f>$J$8</f>
        <v>46071</v>
      </c>
      <c r="BM8" s="561" t="str">
        <f>$I$8</f>
        <v>LTM</v>
      </c>
      <c r="BN8" s="562">
        <f>$J$8</f>
        <v>46071</v>
      </c>
    </row>
    <row r="9" ht="4.5" customHeight="1" spans="1:66" x14ac:dyDescent="0.25">
      <c r="A9" s="4"/>
      <c r="B9" s="4"/>
      <c r="C9" s="40"/>
      <c r="D9" s="75"/>
      <c r="E9" s="75"/>
      <c r="F9" s="75"/>
      <c r="G9" s="75"/>
      <c r="H9" s="75"/>
      <c r="I9" s="563"/>
      <c r="J9" s="75"/>
      <c r="K9" s="75"/>
      <c r="L9" s="75"/>
      <c r="M9" s="75"/>
      <c r="N9" s="75"/>
      <c r="O9" s="75"/>
      <c r="P9" s="75"/>
      <c r="Q9" s="75"/>
      <c r="R9" s="75"/>
      <c r="S9" s="75"/>
      <c r="T9" s="75"/>
      <c r="U9" s="75"/>
      <c r="V9" s="75"/>
      <c r="W9" s="8"/>
      <c r="X9" s="4"/>
      <c r="Y9" s="40"/>
      <c r="Z9" s="75"/>
      <c r="AA9" s="75"/>
      <c r="AB9" s="75"/>
      <c r="AC9" s="75"/>
      <c r="AD9" s="75"/>
      <c r="AE9" s="563"/>
      <c r="AF9" s="75"/>
      <c r="AG9" s="75"/>
      <c r="AH9" s="75"/>
      <c r="AI9" s="75"/>
      <c r="AJ9" s="75"/>
      <c r="AK9" s="75"/>
      <c r="AL9" s="75"/>
      <c r="AM9" s="75"/>
      <c r="AN9" s="75"/>
      <c r="AO9" s="75"/>
      <c r="AP9" s="75"/>
      <c r="AQ9" s="75"/>
      <c r="AR9" s="75"/>
      <c r="AS9" s="4"/>
      <c r="AT9" s="4"/>
      <c r="AU9" s="40"/>
      <c r="AV9" s="75"/>
      <c r="AW9" s="75"/>
      <c r="AX9" s="75"/>
      <c r="AY9" s="75"/>
      <c r="AZ9" s="75"/>
      <c r="BA9" s="563"/>
      <c r="BB9" s="75"/>
      <c r="BC9" s="75"/>
      <c r="BD9" s="75"/>
      <c r="BE9" s="75"/>
      <c r="BF9" s="75"/>
      <c r="BG9" s="75"/>
      <c r="BH9" s="75"/>
      <c r="BI9" s="75"/>
      <c r="BJ9" s="75"/>
      <c r="BK9" s="75"/>
      <c r="BL9" s="75"/>
      <c r="BM9" s="75"/>
      <c r="BN9" s="75"/>
    </row>
    <row r="10" ht="13.5" customHeight="1" spans="1:66" x14ac:dyDescent="0.25">
      <c r="A10" s="4"/>
      <c r="B10" s="4"/>
      <c r="C10" s="40"/>
      <c r="D10" s="10" t="s">
        <v>21</v>
      </c>
      <c r="E10" s="11"/>
      <c r="F10" s="54" t="s">
        <v>23</v>
      </c>
      <c r="G10" s="564">
        <v>67546.7773</v>
      </c>
      <c r="H10" s="564">
        <v>80969.7773</v>
      </c>
      <c r="I10" s="565">
        <v>0.043235</v>
      </c>
      <c r="J10" s="565">
        <v>0.039471411551896374</v>
      </c>
      <c r="K10" s="565">
        <v>0.07518</v>
      </c>
      <c r="L10" s="565">
        <v>0.06293836671802766</v>
      </c>
      <c r="M10" s="565">
        <v>0.312689</v>
      </c>
      <c r="N10" s="565">
        <v>0.31813162631376785</v>
      </c>
      <c r="O10" s="565">
        <v>0.12768100000000002</v>
      </c>
      <c r="P10" s="565">
        <v>0.12926752238569605</v>
      </c>
      <c r="Q10" s="566">
        <v>15.77205</v>
      </c>
      <c r="R10" s="566">
        <v>15.272700859783368</v>
      </c>
      <c r="S10" s="566">
        <v>4.90666</v>
      </c>
      <c r="T10" s="566">
        <v>4.858729162726564</v>
      </c>
      <c r="U10" s="566">
        <v>32.42257</v>
      </c>
      <c r="V10" s="567">
        <v>31.35558838994829</v>
      </c>
      <c r="W10" s="8"/>
      <c r="X10" s="4"/>
      <c r="Y10" s="40"/>
      <c r="Z10" s="10" t="str">
        <f>Z51</f>
        <v>Republic Services, Inc.</v>
      </c>
      <c r="AA10" s="11"/>
      <c r="AB10" s="54" t="s">
        <v>605</v>
      </c>
      <c r="AC10" s="564">
        <v>6040.93556</v>
      </c>
      <c r="AD10" s="564">
        <v>5561.83856</v>
      </c>
      <c r="AE10" s="568">
        <v>0.19067</v>
      </c>
      <c r="AF10" s="568">
        <v>0.03437821578405753</v>
      </c>
      <c r="AG10" s="568">
        <v>0.124316</v>
      </c>
      <c r="AH10" s="568">
        <v>-0.13980789754535738</v>
      </c>
      <c r="AI10" s="568">
        <v>0.28053100000000003</v>
      </c>
      <c r="AJ10" s="568">
        <v>0.29106114754641993</v>
      </c>
      <c r="AK10" s="568">
        <v>0.152468</v>
      </c>
      <c r="AL10" s="568">
        <v>0.20242258666034044</v>
      </c>
      <c r="AM10" s="566">
        <v>0</v>
      </c>
      <c r="AN10" s="566">
        <v>24.372328847561164</v>
      </c>
      <c r="AO10" s="566">
        <v>0</v>
      </c>
      <c r="AP10" s="566">
        <v>7.093838002749867</v>
      </c>
      <c r="AQ10" s="566">
        <v>0</v>
      </c>
      <c r="AR10" s="567">
        <v>38.06344748498806</v>
      </c>
      <c r="AS10" s="4"/>
      <c r="AT10" s="4"/>
      <c r="AU10" s="40"/>
      <c r="AV10" s="10" t="str">
        <f>Company_Name</f>
        <v>Republic Services, Inc.</v>
      </c>
      <c r="AW10" s="11"/>
      <c r="AX10" s="54" t="s">
        <v>605</v>
      </c>
      <c r="AY10" s="564">
        <v>6040.93556</v>
      </c>
      <c r="AZ10" s="564">
        <v>5561.83856</v>
      </c>
      <c r="BA10" s="568">
        <v>0.19067</v>
      </c>
      <c r="BB10" s="568">
        <v>0.03437821578405753</v>
      </c>
      <c r="BC10" s="568">
        <v>0.124316</v>
      </c>
      <c r="BD10" s="568">
        <v>-0.13980789754535738</v>
      </c>
      <c r="BE10" s="568">
        <v>0.28053100000000003</v>
      </c>
      <c r="BF10" s="568">
        <v>0.29106114754641993</v>
      </c>
      <c r="BG10" s="568">
        <v>0.152468</v>
      </c>
      <c r="BH10" s="568">
        <v>0.20242258666034044</v>
      </c>
      <c r="BI10" s="566">
        <v>0</v>
      </c>
      <c r="BJ10" s="566">
        <v>24.372328847561164</v>
      </c>
      <c r="BK10" s="566">
        <v>0</v>
      </c>
      <c r="BL10" s="566">
        <v>7.093838002749867</v>
      </c>
      <c r="BM10" s="566">
        <v>0</v>
      </c>
      <c r="BN10" s="567">
        <v>38.06344748498806</v>
      </c>
    </row>
    <row r="11" ht="13.5" customHeight="1" spans="1:66" x14ac:dyDescent="0.25">
      <c r="A11" s="4"/>
      <c r="B11" s="4"/>
      <c r="C11" s="40"/>
      <c r="D11" s="8"/>
      <c r="E11" s="8"/>
      <c r="F11" s="75"/>
      <c r="G11" s="569"/>
      <c r="H11" s="75"/>
      <c r="I11" s="570"/>
      <c r="J11" s="570"/>
      <c r="K11" s="570"/>
      <c r="L11" s="570"/>
      <c r="M11" s="570"/>
      <c r="N11" s="570"/>
      <c r="O11" s="570"/>
      <c r="P11" s="570"/>
      <c r="Q11" s="571"/>
      <c r="R11" s="571"/>
      <c r="S11" s="571"/>
      <c r="T11" s="75"/>
      <c r="U11" s="75"/>
      <c r="V11" s="75"/>
      <c r="W11" s="8"/>
      <c r="X11" s="4"/>
      <c r="Y11" s="40"/>
      <c r="Z11" s="8"/>
      <c r="AA11" s="8"/>
      <c r="AB11" s="75"/>
      <c r="AC11" s="569"/>
      <c r="AD11" s="75"/>
      <c r="AE11" s="570"/>
      <c r="AF11" s="570"/>
      <c r="AG11" s="570"/>
      <c r="AH11" s="570"/>
      <c r="AI11" s="570"/>
      <c r="AJ11" s="570"/>
      <c r="AK11" s="570"/>
      <c r="AL11" s="570"/>
      <c r="AM11" s="571"/>
      <c r="AN11" s="571"/>
      <c r="AO11" s="571"/>
      <c r="AP11" s="75"/>
      <c r="AQ11" s="75"/>
      <c r="AR11" s="75"/>
      <c r="AS11" s="4"/>
      <c r="AT11" s="4"/>
      <c r="AU11" s="40"/>
      <c r="AV11" s="8"/>
      <c r="AW11" s="8"/>
      <c r="AX11" s="75"/>
      <c r="AY11" s="569"/>
      <c r="AZ11" s="75"/>
      <c r="BA11" s="570"/>
      <c r="BB11" s="570"/>
      <c r="BC11" s="570"/>
      <c r="BD11" s="570"/>
      <c r="BE11" s="570"/>
      <c r="BF11" s="570"/>
      <c r="BG11" s="570"/>
      <c r="BH11" s="570"/>
      <c r="BI11" s="571"/>
      <c r="BJ11" s="571"/>
      <c r="BK11" s="571"/>
      <c r="BL11" s="75"/>
      <c r="BM11" s="75"/>
      <c r="BN11" s="75"/>
    </row>
    <row r="12" ht="13.5" customHeight="1" spans="1:66" x14ac:dyDescent="0.25">
      <c r="A12" s="4"/>
      <c r="B12" s="4"/>
      <c r="C12" s="40"/>
      <c r="D12" s="8" t="s">
        <v>606</v>
      </c>
      <c r="E12" s="8"/>
      <c r="F12" s="75" t="s">
        <v>607</v>
      </c>
      <c r="G12" s="572">
        <v>91221.18636</v>
      </c>
      <c r="H12" s="572">
        <v>113928.18636</v>
      </c>
      <c r="I12" s="573">
        <v>0.142365</v>
      </c>
      <c r="J12" s="573">
        <v>0.051819927392477316</v>
      </c>
      <c r="K12" s="573">
        <v>-0.016153</v>
      </c>
      <c r="L12" s="574">
        <v>0.22575970149253743</v>
      </c>
      <c r="M12" s="573">
        <v>0.300547</v>
      </c>
      <c r="N12" s="573">
        <v>0.309351453245627</v>
      </c>
      <c r="O12" s="573">
        <v>0.10744300000000001</v>
      </c>
      <c r="P12" s="573">
        <v>0.12423809964783024</v>
      </c>
      <c r="Q12" s="575">
        <v>15.0202</v>
      </c>
      <c r="R12" s="575">
        <v>13.89210821934113</v>
      </c>
      <c r="S12" s="575">
        <v>4.52024</v>
      </c>
      <c r="T12" s="575">
        <v>4.297543866298699</v>
      </c>
      <c r="U12" s="575">
        <v>33.79552</v>
      </c>
      <c r="V12" s="575">
        <v>27.696829071600675</v>
      </c>
      <c r="W12" s="8"/>
      <c r="X12" s="4"/>
      <c r="Y12" s="40"/>
      <c r="Z12" s="8" t="e">
        <f>Z72</f>
        <v>#NAME?</v>
      </c>
      <c r="AA12" s="8"/>
      <c r="AB12" s="75" t="s">
        <v>608</v>
      </c>
      <c r="AC12" s="572">
        <v>128030.64897</v>
      </c>
      <c r="AD12" s="572">
        <v>154660.64897</v>
      </c>
      <c r="AE12" s="570">
        <v>0.284792</v>
      </c>
      <c r="AF12" s="570">
        <v>0.15215755721278734</v>
      </c>
      <c r="AG12" s="570">
        <v>0.43208399999999997</v>
      </c>
      <c r="AH12" s="570">
        <v>-2.5665133721199402</v>
      </c>
      <c r="AI12" s="570">
        <v>0.147101</v>
      </c>
      <c r="AJ12" s="570">
        <v>0.1576670695812238</v>
      </c>
      <c r="AK12" s="570">
        <v>0.035057</v>
      </c>
      <c r="AL12" s="570">
        <v>0.09387145385672055</v>
      </c>
      <c r="AM12" s="575">
        <v>16.46107</v>
      </c>
      <c r="AN12" s="575">
        <v>15.045626948605292</v>
      </c>
      <c r="AO12" s="575">
        <v>2.57577</v>
      </c>
      <c r="AP12" s="575">
        <v>2.372199910998887</v>
      </c>
      <c r="AQ12" s="575">
        <v>63.46893</v>
      </c>
      <c r="AR12" s="575">
        <v>20.919526956583937</v>
      </c>
      <c r="AS12" s="4"/>
      <c r="AT12" s="4"/>
      <c r="AU12" s="40"/>
      <c r="AV12" s="8" t="e">
        <f>AV53</f>
        <v>#NAME?</v>
      </c>
      <c r="AW12" s="8"/>
      <c r="AX12" s="75" t="s">
        <v>609</v>
      </c>
      <c r="AY12" s="572">
        <v>112863.39125</v>
      </c>
      <c r="AZ12" s="572">
        <v>126547.39125</v>
      </c>
      <c r="BA12" s="570">
        <v>0.107836</v>
      </c>
      <c r="BB12" s="570">
        <v>0.0940741775416356</v>
      </c>
      <c r="BC12" s="570">
        <v>0.139568</v>
      </c>
      <c r="BD12" s="570">
        <v>0.07120432432432433</v>
      </c>
      <c r="BE12" s="570">
        <v>0.290032</v>
      </c>
      <c r="BF12" s="570">
        <v>0.26891896707285307</v>
      </c>
      <c r="BG12" s="570">
        <v>0.17038</v>
      </c>
      <c r="BH12" s="570">
        <v>0.1651012198285608</v>
      </c>
      <c r="BI12" s="575">
        <v>11.08706</v>
      </c>
      <c r="BJ12" s="575">
        <v>13.364261803244904</v>
      </c>
      <c r="BK12" s="575">
        <v>3.36595</v>
      </c>
      <c r="BL12" s="575">
        <v>3.5939034798198044</v>
      </c>
      <c r="BM12" s="575">
        <v>17.64282</v>
      </c>
      <c r="BN12" s="575">
        <v>19.41404473831319</v>
      </c>
    </row>
    <row r="13" ht="13.5" customHeight="1" spans="1:66" x14ac:dyDescent="0.25">
      <c r="A13" s="4"/>
      <c r="B13" s="4"/>
      <c r="C13" s="40"/>
      <c r="D13" s="8" t="s">
        <v>610</v>
      </c>
      <c r="E13" s="8"/>
      <c r="F13" s="75" t="s">
        <v>611</v>
      </c>
      <c r="G13" s="572">
        <v>43331.81415</v>
      </c>
      <c r="H13" s="572">
        <v>52169.26115</v>
      </c>
      <c r="I13" s="573">
        <v>0.07578800000000001</v>
      </c>
      <c r="J13" s="573">
        <v>0.06061033628111412</v>
      </c>
      <c r="K13" s="573">
        <v>-0.340956</v>
      </c>
      <c r="L13" s="574">
        <v>1.150866108786611</v>
      </c>
      <c r="M13" s="573">
        <v>0.267936</v>
      </c>
      <c r="N13" s="573">
        <v>0.32956900162646596</v>
      </c>
      <c r="O13" s="573">
        <v>0.066502</v>
      </c>
      <c r="P13" s="573">
        <v>0.14040146703248643</v>
      </c>
      <c r="Q13" s="575">
        <v>20.37937</v>
      </c>
      <c r="R13" s="575">
        <v>16.732758143174458</v>
      </c>
      <c r="S13" s="575">
        <v>5.57728</v>
      </c>
      <c r="T13" s="575">
        <v>5.514598395703125</v>
      </c>
      <c r="U13" s="575">
        <v>70.55153</v>
      </c>
      <c r="V13" s="575">
        <v>32.62379130073975</v>
      </c>
      <c r="W13" s="8"/>
      <c r="X13" s="4"/>
      <c r="Y13" s="40"/>
      <c r="Z13" s="8" t="e">
        <f>Z73</f>
        <v>#NAME?</v>
      </c>
      <c r="AA13" s="8"/>
      <c r="AB13" s="75" t="s">
        <v>612</v>
      </c>
      <c r="AC13" s="572">
        <v>129979.18471</v>
      </c>
      <c r="AD13" s="572">
        <v>172393.18471</v>
      </c>
      <c r="AE13" s="570">
        <v>-0.07428799999999999</v>
      </c>
      <c r="AF13" s="570">
        <v>0.2682719844217478</v>
      </c>
      <c r="AG13" s="570">
        <v>0.43208399999999997</v>
      </c>
      <c r="AH13" s="570">
        <v>-0.977609674329502</v>
      </c>
      <c r="AI13" s="570">
        <v>-0.029095</v>
      </c>
      <c r="AJ13" s="570">
        <v>0.07583617298307273</v>
      </c>
      <c r="AK13" s="570">
        <v>-0.14303000000000002</v>
      </c>
      <c r="AL13" s="570">
        <v>-0.005421097632900035</v>
      </c>
      <c r="AM13" s="575" t="s">
        <v>613</v>
      </c>
      <c r="AN13" s="575">
        <v>30.819232691225288</v>
      </c>
      <c r="AO13" s="575">
        <v>2.82676</v>
      </c>
      <c r="AP13" s="575">
        <v>2.3372126615773308</v>
      </c>
      <c r="AQ13" s="575" t="s">
        <v>613</v>
      </c>
      <c r="AR13" s="575" t="s">
        <v>613</v>
      </c>
      <c r="AS13" s="4"/>
      <c r="AT13" s="4"/>
      <c r="AU13" s="40"/>
      <c r="AV13" s="8" t="e">
        <f>AV54</f>
        <v>#NAME?</v>
      </c>
      <c r="AW13" s="8"/>
      <c r="AX13" s="75" t="s">
        <v>614</v>
      </c>
      <c r="AY13" s="572">
        <v>116444.01873</v>
      </c>
      <c r="AZ13" s="572">
        <v>165361.01873</v>
      </c>
      <c r="BA13" s="570">
        <v>-0.083477</v>
      </c>
      <c r="BB13" s="570">
        <v>-0.036353036963538865</v>
      </c>
      <c r="BC13" s="570">
        <v>0.139568</v>
      </c>
      <c r="BD13" s="570">
        <v>-0.5777118713986096</v>
      </c>
      <c r="BE13" s="570">
        <v>0.08612500000000001</v>
      </c>
      <c r="BF13" s="570">
        <v>0.10098877292986558</v>
      </c>
      <c r="BG13" s="570">
        <v>-0.03102</v>
      </c>
      <c r="BH13" s="570">
        <v>0.027997383350577984</v>
      </c>
      <c r="BI13" s="575">
        <v>20.84823</v>
      </c>
      <c r="BJ13" s="575">
        <v>21.34152100121854</v>
      </c>
      <c r="BK13" s="575">
        <v>2.07603</v>
      </c>
      <c r="BL13" s="575">
        <v>2.1552540183700164</v>
      </c>
      <c r="BM13" s="575" t="s">
        <v>613</v>
      </c>
      <c r="BN13" s="575">
        <v>54.20820989547334</v>
      </c>
    </row>
    <row r="14" ht="13.5" customHeight="1" spans="1:66" x14ac:dyDescent="0.25">
      <c r="A14" s="4"/>
      <c r="B14" s="4"/>
      <c r="C14" s="40"/>
      <c r="D14" s="8" t="s">
        <v>615</v>
      </c>
      <c r="E14" s="8"/>
      <c r="F14" s="75" t="s">
        <v>616</v>
      </c>
      <c r="G14" s="572">
        <v>20890.73008</v>
      </c>
      <c r="H14" s="572">
        <v>28765.63008</v>
      </c>
      <c r="I14" s="573">
        <v>0.27494399999999997</v>
      </c>
      <c r="J14" s="573">
        <v>-0.16099673619944033</v>
      </c>
      <c r="K14" s="573">
        <v>-0.181</v>
      </c>
      <c r="L14" s="574">
        <v>-1.2808834758523873</v>
      </c>
      <c r="M14" s="573">
        <v>0.228577</v>
      </c>
      <c r="N14" s="573">
        <v>0.2995183852865738</v>
      </c>
      <c r="O14" s="573">
        <v>0.439098</v>
      </c>
      <c r="P14" s="573">
        <v>0.03474699871835844</v>
      </c>
      <c r="Q14" s="575">
        <v>14.7448</v>
      </c>
      <c r="R14" s="575">
        <v>14.559743219637127</v>
      </c>
      <c r="S14" s="575">
        <v>3.49781</v>
      </c>
      <c r="T14" s="575">
        <v>4.360910779332854</v>
      </c>
      <c r="U14" s="575">
        <v>267.47033</v>
      </c>
      <c r="V14" s="575">
        <v>91.14642302931763</v>
      </c>
      <c r="W14" s="8"/>
      <c r="X14" s="4"/>
      <c r="Y14" s="40"/>
      <c r="Z14" s="8" t="e">
        <f>Z74</f>
        <v>#NAME?</v>
      </c>
      <c r="AA14" s="8"/>
      <c r="AB14" s="75" t="s">
        <v>617</v>
      </c>
      <c r="AC14" s="572">
        <v>8308.71977</v>
      </c>
      <c r="AD14" s="572">
        <v>9819.71977</v>
      </c>
      <c r="AE14" s="570">
        <v>0.07386999999999999</v>
      </c>
      <c r="AF14" s="570">
        <v>0.055577780151693235</v>
      </c>
      <c r="AG14" s="570">
        <v>0.43208399999999997</v>
      </c>
      <c r="AH14" s="570">
        <v>-0.23063185530921815</v>
      </c>
      <c r="AI14" s="570">
        <v>0.12192</v>
      </c>
      <c r="AJ14" s="570">
        <v>0.084324001841222</v>
      </c>
      <c r="AK14" s="570">
        <v>0.078079</v>
      </c>
      <c r="AL14" s="570">
        <v>0</v>
      </c>
      <c r="AM14" s="575">
        <v>7.41228</v>
      </c>
      <c r="AN14" s="575">
        <v>11.785157752018538</v>
      </c>
      <c r="AO14" s="575">
        <v>0.98224</v>
      </c>
      <c r="AP14" s="575">
        <v>0.993771663980303</v>
      </c>
      <c r="AQ14" s="575">
        <v>10.64393</v>
      </c>
      <c r="AR14" s="575">
        <v>20.919526956583937</v>
      </c>
      <c r="AS14" s="4"/>
      <c r="AT14" s="4"/>
      <c r="AU14" s="40"/>
      <c r="AV14" s="8" t="e">
        <f>AV55</f>
        <v>#NAME?</v>
      </c>
      <c r="AW14" s="8"/>
      <c r="AX14" s="75" t="s">
        <v>618</v>
      </c>
      <c r="AY14" s="572">
        <v>159578.88611</v>
      </c>
      <c r="AZ14" s="572">
        <v>169888.88611</v>
      </c>
      <c r="BA14" s="570">
        <v>-0.016309</v>
      </c>
      <c r="BB14" s="570">
        <v>0.0742312688053437</v>
      </c>
      <c r="BC14" s="570">
        <v>-0.135737</v>
      </c>
      <c r="BD14" s="570">
        <v>0.2010282738095237</v>
      </c>
      <c r="BE14" s="570">
        <v>0.24559</v>
      </c>
      <c r="BF14" s="570">
        <v>0.2505048482191309</v>
      </c>
      <c r="BG14" s="570">
        <v>0.14647</v>
      </c>
      <c r="BH14" s="570">
        <v>0.16202131881505455</v>
      </c>
      <c r="BI14" s="575">
        <v>18.49203</v>
      </c>
      <c r="BJ14" s="575">
        <v>19.343756300866573</v>
      </c>
      <c r="BK14" s="575">
        <v>4.71245</v>
      </c>
      <c r="BL14" s="575">
        <v>4.845704736136438</v>
      </c>
      <c r="BM14" s="575">
        <v>30.83166</v>
      </c>
      <c r="BN14" s="575">
        <v>28.092814093008723</v>
      </c>
    </row>
    <row r="15" ht="13.5" customHeight="1" spans="1:66" x14ac:dyDescent="0.25">
      <c r="A15" s="4"/>
      <c r="B15" s="4"/>
      <c r="C15" s="40"/>
      <c r="D15" s="8" t="s">
        <v>619</v>
      </c>
      <c r="E15" s="8"/>
      <c r="F15" s="75" t="s">
        <v>620</v>
      </c>
      <c r="G15" s="572">
        <v>6591.2619</v>
      </c>
      <c r="H15" s="572">
        <v>7638.1089</v>
      </c>
      <c r="I15" s="573">
        <v>0.205395</v>
      </c>
      <c r="J15" s="573">
        <v>0.18068513558550392</v>
      </c>
      <c r="K15" s="573">
        <v>1.025443</v>
      </c>
      <c r="L15" s="574">
        <v>4.264116896263368</v>
      </c>
      <c r="M15" s="573">
        <v>0.21465199999999998</v>
      </c>
      <c r="N15" s="573">
        <v>0.22890766986401717</v>
      </c>
      <c r="O15" s="573">
        <v>0.008498</v>
      </c>
      <c r="P15" s="573">
        <v>0.04180603417305515</v>
      </c>
      <c r="Q15" s="575">
        <v>18.24135</v>
      </c>
      <c r="R15" s="575">
        <v>18.14779493179563</v>
      </c>
      <c r="S15" s="575">
        <v>4.25457</v>
      </c>
      <c r="T15" s="575">
        <v>4.154169451007358</v>
      </c>
      <c r="U15" s="575">
        <v>420.3</v>
      </c>
      <c r="V15" s="575">
        <v>85.7487817938281</v>
      </c>
      <c r="W15" s="8"/>
      <c r="X15" s="4"/>
      <c r="Y15" s="40"/>
      <c r="Z15" s="8" t="e">
        <f>Z75</f>
        <v>#NAME?</v>
      </c>
      <c r="AA15" s="8"/>
      <c r="AB15" s="75" t="s">
        <v>621</v>
      </c>
      <c r="AC15" s="572">
        <v>100241.00058</v>
      </c>
      <c r="AD15" s="572">
        <v>109675.00058</v>
      </c>
      <c r="AE15" s="570">
        <v>0.061888</v>
      </c>
      <c r="AF15" s="570">
        <v>0.04491292042570105</v>
      </c>
      <c r="AG15" s="570">
        <v>0.126793</v>
      </c>
      <c r="AH15" s="570">
        <v>0.10296855591228082</v>
      </c>
      <c r="AI15" s="570">
        <v>0.153081</v>
      </c>
      <c r="AJ15" s="570">
        <v>0.15369527678916067</v>
      </c>
      <c r="AK15" s="570">
        <v>0.10689299999999999</v>
      </c>
      <c r="AL15" s="570">
        <v>0.10917443855909938</v>
      </c>
      <c r="AM15" s="575">
        <v>10.01997</v>
      </c>
      <c r="AN15" s="575">
        <v>10.442453685118846</v>
      </c>
      <c r="AO15" s="575">
        <v>1.59176</v>
      </c>
      <c r="AP15" s="575">
        <v>1.6049558094923317</v>
      </c>
      <c r="AQ15" s="575">
        <v>13.61295</v>
      </c>
      <c r="AR15" s="575">
        <v>13.436305184315913</v>
      </c>
      <c r="AS15" s="4"/>
      <c r="AT15" s="4"/>
      <c r="AU15" s="40"/>
      <c r="AV15" s="8" t="e">
        <f>AV56</f>
        <v>#NAME?</v>
      </c>
      <c r="AW15" s="8"/>
      <c r="AX15" s="75" t="s">
        <v>622</v>
      </c>
      <c r="AY15" s="572">
        <v>50450.58055</v>
      </c>
      <c r="AZ15" s="572">
        <v>58814.68055</v>
      </c>
      <c r="BA15" s="570">
        <v>0.107789</v>
      </c>
      <c r="BB15" s="570">
        <v>0.16134879412350056</v>
      </c>
      <c r="BC15" s="570">
        <v>-0.342387</v>
      </c>
      <c r="BD15" s="570">
        <v>0.6838775055679285</v>
      </c>
      <c r="BE15" s="570">
        <v>0.362131</v>
      </c>
      <c r="BF15" s="570">
        <v>0.36653876959791054</v>
      </c>
      <c r="BG15" s="570">
        <v>0.17795100000000003</v>
      </c>
      <c r="BH15" s="570">
        <v>0.25151357300210986</v>
      </c>
      <c r="BI15" s="575">
        <v>25.12855</v>
      </c>
      <c r="BJ15" s="575">
        <v>24.998032555108455</v>
      </c>
      <c r="BK15" s="575">
        <v>9.38733</v>
      </c>
      <c r="BL15" s="575">
        <v>9.162748095117964</v>
      </c>
      <c r="BM15" s="575">
        <v>45.20111</v>
      </c>
      <c r="BN15" s="575">
        <v>31.249620371034457</v>
      </c>
    </row>
    <row r="16" ht="13.5" customHeight="1" spans="1:66" x14ac:dyDescent="0.25">
      <c r="A16" s="4"/>
      <c r="B16" s="4"/>
      <c r="C16" s="40"/>
      <c r="D16" s="8" t="s">
        <v>623</v>
      </c>
      <c r="E16" s="8"/>
      <c r="F16" s="75" t="s">
        <v>624</v>
      </c>
      <c r="G16" s="572">
        <v>13943.03734</v>
      </c>
      <c r="H16" s="572">
        <v>16310.61234</v>
      </c>
      <c r="I16" s="573">
        <v>0.028506</v>
      </c>
      <c r="J16" s="573">
        <v>0.017792104248048224</v>
      </c>
      <c r="K16" s="573">
        <v>-0.062735</v>
      </c>
      <c r="L16" s="574">
        <v>-0.022576819407008064</v>
      </c>
      <c r="M16" s="573">
        <v>0.18452300000000002</v>
      </c>
      <c r="N16" s="573">
        <v>0.19432895832942157</v>
      </c>
      <c r="O16" s="573">
        <v>0.065136</v>
      </c>
      <c r="P16" s="573">
        <v>0.06504352284019128</v>
      </c>
      <c r="Q16" s="575">
        <v>11.48395</v>
      </c>
      <c r="R16" s="575">
        <v>14.001092027010499</v>
      </c>
      <c r="S16" s="575">
        <v>2.73564</v>
      </c>
      <c r="T16" s="575">
        <v>2.72081762908332</v>
      </c>
      <c r="U16" s="575">
        <v>36.25203</v>
      </c>
      <c r="V16" s="575">
        <v>35.75876427192242</v>
      </c>
      <c r="W16" s="8"/>
      <c r="X16" s="4"/>
      <c r="Y16" s="40"/>
      <c r="Z16" s="8" t="e">
        <f>Z76</f>
        <v>#NAME?</v>
      </c>
      <c r="AA16" s="8"/>
      <c r="AB16" s="75" t="s">
        <v>625</v>
      </c>
      <c r="AC16" s="572">
        <v>58414.20514</v>
      </c>
      <c r="AD16" s="572">
        <v>68211.20514</v>
      </c>
      <c r="AE16" s="570">
        <v>0.083659</v>
      </c>
      <c r="AF16" s="570">
        <v>-0.014799398896709226</v>
      </c>
      <c r="AG16" s="570">
        <v>0.940674</v>
      </c>
      <c r="AH16" s="570">
        <v>0.3097719390436151</v>
      </c>
      <c r="AI16" s="570">
        <v>0.148179</v>
      </c>
      <c r="AJ16" s="570">
        <v>0.16978995137012473</v>
      </c>
      <c r="AK16" s="570">
        <v>0.120947</v>
      </c>
      <c r="AL16" s="570">
        <v>0.1101035929189027</v>
      </c>
      <c r="AM16" s="575">
        <v>11.64045</v>
      </c>
      <c r="AN16" s="575">
        <v>11.081104576504847</v>
      </c>
      <c r="AO16" s="575">
        <v>1.86712</v>
      </c>
      <c r="AP16" s="575">
        <v>1.8814602071720246</v>
      </c>
      <c r="AQ16" s="575">
        <v>13.68139</v>
      </c>
      <c r="AR16" s="575">
        <v>14.63377236634007</v>
      </c>
      <c r="AS16" s="4"/>
      <c r="AT16" s="4"/>
      <c r="AU16" s="40"/>
      <c r="AV16" s="8" t="e">
        <f>AV57</f>
        <v>#NAME?</v>
      </c>
      <c r="AW16" s="8"/>
      <c r="AX16" s="75" t="s">
        <v>626</v>
      </c>
      <c r="AY16" s="572">
        <v>62631.506</v>
      </c>
      <c r="AZ16" s="572">
        <v>67649.506</v>
      </c>
      <c r="BA16" s="570">
        <v>0.037736</v>
      </c>
      <c r="BB16" s="570">
        <v>0.09444422877569258</v>
      </c>
      <c r="BC16" s="570">
        <v>0.22055499999999997</v>
      </c>
      <c r="BD16" s="570">
        <v>0.25316666666666676</v>
      </c>
      <c r="BE16" s="570">
        <v>0.221998</v>
      </c>
      <c r="BF16" s="570">
        <v>0.22892474020264064</v>
      </c>
      <c r="BG16" s="570">
        <v>0.13201000000000002</v>
      </c>
      <c r="BH16" s="570">
        <v>0.13269769057936825</v>
      </c>
      <c r="BI16" s="575">
        <v>14.77147</v>
      </c>
      <c r="BJ16" s="575">
        <v>16.086327955734895</v>
      </c>
      <c r="BK16" s="575">
        <v>3.48471</v>
      </c>
      <c r="BL16" s="575">
        <v>3.6825584480810862</v>
      </c>
      <c r="BM16" s="575">
        <v>24.43376</v>
      </c>
      <c r="BN16" s="575">
        <v>25.692981780241418</v>
      </c>
    </row>
    <row r="17" ht="13.5" customHeight="1" spans="1:66" x14ac:dyDescent="0.25">
      <c r="A17" s="4"/>
      <c r="B17" s="4"/>
      <c r="C17" s="40"/>
      <c r="D17" s="8"/>
      <c r="E17" s="8"/>
      <c r="F17" s="75"/>
      <c r="G17" s="75"/>
      <c r="H17" s="75"/>
      <c r="I17" s="570"/>
      <c r="J17" s="570"/>
      <c r="K17" s="576"/>
      <c r="L17" s="577"/>
      <c r="M17" s="576"/>
      <c r="N17" s="576"/>
      <c r="O17" s="576"/>
      <c r="P17" s="576"/>
      <c r="Q17" s="75"/>
      <c r="R17" s="75"/>
      <c r="S17" s="75"/>
      <c r="T17" s="75"/>
      <c r="U17" s="75"/>
      <c r="V17" s="75"/>
      <c r="W17" s="8"/>
      <c r="X17" s="4"/>
      <c r="Y17" s="40"/>
      <c r="Z17" s="8"/>
      <c r="AA17" s="8"/>
      <c r="AB17" s="75"/>
      <c r="AC17" s="75"/>
      <c r="AD17" s="75"/>
      <c r="AE17" s="570"/>
      <c r="AF17" s="570"/>
      <c r="AG17" s="576"/>
      <c r="AH17" s="576"/>
      <c r="AI17" s="576"/>
      <c r="AJ17" s="576"/>
      <c r="AK17" s="576"/>
      <c r="AL17" s="576"/>
      <c r="AM17" s="75"/>
      <c r="AN17" s="75"/>
      <c r="AO17" s="75"/>
      <c r="AP17" s="75"/>
      <c r="AQ17" s="75"/>
      <c r="AR17" s="75"/>
      <c r="AS17" s="4"/>
      <c r="AT17" s="4"/>
      <c r="AU17" s="40"/>
      <c r="AV17" s="8"/>
      <c r="AW17" s="8"/>
      <c r="AX17" s="75"/>
      <c r="AY17" s="75"/>
      <c r="AZ17" s="75"/>
      <c r="BA17" s="570"/>
      <c r="BB17" s="570"/>
      <c r="BC17" s="576"/>
      <c r="BD17" s="576"/>
      <c r="BE17" s="576"/>
      <c r="BF17" s="576"/>
      <c r="BG17" s="576"/>
      <c r="BH17" s="576"/>
      <c r="BI17" s="75"/>
      <c r="BJ17" s="75"/>
      <c r="BK17" s="75"/>
      <c r="BL17" s="75"/>
      <c r="BM17" s="75"/>
      <c r="BN17" s="75"/>
    </row>
    <row r="18" ht="13.5" customHeight="1" spans="1:66" x14ac:dyDescent="0.25">
      <c r="A18" s="4"/>
      <c r="B18" s="4"/>
      <c r="C18" s="40"/>
      <c r="D18" s="578" t="s">
        <v>164</v>
      </c>
      <c r="E18" s="579"/>
      <c r="F18" s="580"/>
      <c r="G18" s="581">
        <v>91221.18636</v>
      </c>
      <c r="H18" s="581">
        <v>113928.18636</v>
      </c>
      <c r="I18" s="582">
        <v>0.27494399999999997</v>
      </c>
      <c r="J18" s="582">
        <v>0.18068513558550392</v>
      </c>
      <c r="K18" s="582">
        <f>MAX(K12:K16)</f>
        <v>1.025443</v>
      </c>
      <c r="L18" s="583">
        <v>4.264116896263368</v>
      </c>
      <c r="M18" s="582">
        <v>0.300547</v>
      </c>
      <c r="N18" s="582">
        <v>0.32956900162646596</v>
      </c>
      <c r="O18" s="582">
        <v>0.439098</v>
      </c>
      <c r="P18" s="582">
        <v>0.14040146703248643</v>
      </c>
      <c r="Q18" s="584">
        <v>20.37937</v>
      </c>
      <c r="R18" s="585">
        <v>18.14779493179563</v>
      </c>
      <c r="S18" s="585">
        <v>5.57728</v>
      </c>
      <c r="T18" s="585">
        <v>5.514598395703125</v>
      </c>
      <c r="U18" s="585">
        <v>267.47033</v>
      </c>
      <c r="V18" s="586">
        <v>91.14642302931763</v>
      </c>
      <c r="W18" s="8"/>
      <c r="X18" s="4"/>
      <c r="Y18" s="40"/>
      <c r="Z18" s="578" t="s">
        <v>164</v>
      </c>
      <c r="AA18" s="579"/>
      <c r="AB18" s="580"/>
      <c r="AC18" s="581">
        <f t="shared" ref="AC18:AR18" si="0">MAX(AC10:AC16)</f>
        <v>129979.18471</v>
      </c>
      <c r="AD18" s="581">
        <f t="shared" si="0"/>
        <v>172393.18471</v>
      </c>
      <c r="AE18" s="587">
        <f t="shared" si="0"/>
        <v>0.284792</v>
      </c>
      <c r="AF18" s="587">
        <f t="shared" si="0"/>
        <v>0.2682719844217478</v>
      </c>
      <c r="AG18" s="587">
        <f t="shared" si="0"/>
        <v>0.940674</v>
      </c>
      <c r="AH18" s="587">
        <f t="shared" si="0"/>
        <v>0.3097719390436151</v>
      </c>
      <c r="AI18" s="587">
        <f t="shared" si="0"/>
        <v>0.28053100000000003</v>
      </c>
      <c r="AJ18" s="587">
        <f t="shared" si="0"/>
        <v>0.29106114754641993</v>
      </c>
      <c r="AK18" s="587">
        <f t="shared" si="0"/>
        <v>0.152468</v>
      </c>
      <c r="AL18" s="587">
        <f t="shared" si="0"/>
        <v>0.20242258666034044</v>
      </c>
      <c r="AM18" s="584">
        <f t="shared" si="0"/>
        <v>16.46107</v>
      </c>
      <c r="AN18" s="585">
        <f t="shared" si="0"/>
        <v>30.819232691225288</v>
      </c>
      <c r="AO18" s="585">
        <f t="shared" si="0"/>
        <v>2.82676</v>
      </c>
      <c r="AP18" s="585">
        <f t="shared" si="0"/>
        <v>7.093838002749867</v>
      </c>
      <c r="AQ18" s="585">
        <f t="shared" si="0"/>
        <v>63.46893</v>
      </c>
      <c r="AR18" s="586">
        <f t="shared" si="0"/>
        <v>38.06344748498806</v>
      </c>
      <c r="AS18" s="4"/>
      <c r="AT18" s="4"/>
      <c r="AU18" s="40"/>
      <c r="AV18" s="578" t="s">
        <v>164</v>
      </c>
      <c r="AW18" s="579"/>
      <c r="AX18" s="580"/>
      <c r="AY18" s="581">
        <f t="shared" ref="AY18:BN18" si="1">MAX(AY10:AY16)</f>
        <v>159578.88611</v>
      </c>
      <c r="AZ18" s="581">
        <f t="shared" si="1"/>
        <v>169888.88611</v>
      </c>
      <c r="BA18" s="587">
        <f t="shared" si="1"/>
        <v>0.19067</v>
      </c>
      <c r="BB18" s="587">
        <f t="shared" si="1"/>
        <v>0.16134879412350056</v>
      </c>
      <c r="BC18" s="587">
        <f t="shared" si="1"/>
        <v>0.22055499999999997</v>
      </c>
      <c r="BD18" s="587">
        <f t="shared" si="1"/>
        <v>0.6838775055679285</v>
      </c>
      <c r="BE18" s="587">
        <f t="shared" si="1"/>
        <v>0.362131</v>
      </c>
      <c r="BF18" s="587">
        <f t="shared" si="1"/>
        <v>0.36653876959791054</v>
      </c>
      <c r="BG18" s="587">
        <f t="shared" si="1"/>
        <v>0.17795100000000003</v>
      </c>
      <c r="BH18" s="587">
        <f t="shared" si="1"/>
        <v>0.25151357300210986</v>
      </c>
      <c r="BI18" s="584">
        <f t="shared" si="1"/>
        <v>25.12855</v>
      </c>
      <c r="BJ18" s="585">
        <f t="shared" si="1"/>
        <v>24.998032555108455</v>
      </c>
      <c r="BK18" s="585">
        <f t="shared" si="1"/>
        <v>9.38733</v>
      </c>
      <c r="BL18" s="585">
        <f t="shared" si="1"/>
        <v>9.162748095117964</v>
      </c>
      <c r="BM18" s="585">
        <f t="shared" si="1"/>
        <v>45.20111</v>
      </c>
      <c r="BN18" s="586">
        <f t="shared" si="1"/>
        <v>54.20820989547334</v>
      </c>
    </row>
    <row r="19" ht="13.5" customHeight="1" spans="1:66" x14ac:dyDescent="0.25">
      <c r="A19" s="4"/>
      <c r="B19" s="4"/>
      <c r="C19" s="40"/>
      <c r="D19" s="588" t="s">
        <v>627</v>
      </c>
      <c r="E19" s="463"/>
      <c r="F19" s="589"/>
      <c r="G19" s="590">
        <v>35195.60596600001</v>
      </c>
      <c r="H19" s="590">
        <v>43762.359765999994</v>
      </c>
      <c r="I19" s="591">
        <v>0.1453996</v>
      </c>
      <c r="J19" s="591">
        <v>0.02998215346154065</v>
      </c>
      <c r="K19" s="591">
        <f>AVERAGE(K12:K16)</f>
        <v>0.08491980000000003</v>
      </c>
      <c r="L19" s="592">
        <v>0.8674564822566243</v>
      </c>
      <c r="M19" s="591">
        <v>0.23924700000000004</v>
      </c>
      <c r="N19" s="591">
        <v>0.27233509367042114</v>
      </c>
      <c r="O19" s="591">
        <v>0.1373354</v>
      </c>
      <c r="P19" s="591">
        <v>0.08124722448238432</v>
      </c>
      <c r="Q19" s="593">
        <v>15.973934000000003</v>
      </c>
      <c r="R19" s="594">
        <v>15.46669930819177</v>
      </c>
      <c r="S19" s="594">
        <v>4.117108</v>
      </c>
      <c r="T19" s="594">
        <v>4.209608024285072</v>
      </c>
      <c r="U19" s="594">
        <v>102.01735249999999</v>
      </c>
      <c r="V19" s="595">
        <v>54.594917893481714</v>
      </c>
      <c r="W19" s="8"/>
      <c r="X19" s="4"/>
      <c r="Y19" s="40"/>
      <c r="Z19" s="588" t="s">
        <v>627</v>
      </c>
      <c r="AA19" s="463"/>
      <c r="AB19" s="589"/>
      <c r="AC19" s="590">
        <f t="shared" ref="AC19:AR19" si="2">AVERAGE(AC10:AC16)</f>
        <v>71835.782455</v>
      </c>
      <c r="AD19" s="590">
        <f t="shared" si="2"/>
        <v>86720.26628833334</v>
      </c>
      <c r="AE19" s="596">
        <f t="shared" si="2"/>
        <v>0.10343183333333333</v>
      </c>
      <c r="AF19" s="596">
        <f t="shared" si="2"/>
        <v>0.09008317651654629</v>
      </c>
      <c r="AG19" s="596">
        <f t="shared" si="2"/>
        <v>0.4146725</v>
      </c>
      <c r="AH19" s="596">
        <f t="shared" si="2"/>
        <v>-0.583637050724687</v>
      </c>
      <c r="AI19" s="596">
        <f t="shared" si="2"/>
        <v>0.13695283333333333</v>
      </c>
      <c r="AJ19" s="596">
        <f t="shared" si="2"/>
        <v>0.15539560335187066</v>
      </c>
      <c r="AK19" s="596">
        <f t="shared" si="2"/>
        <v>0.058402333333333334</v>
      </c>
      <c r="AL19" s="596">
        <f t="shared" si="2"/>
        <v>0.08502516239369384</v>
      </c>
      <c r="AM19" s="593">
        <f t="shared" si="2"/>
        <v>9.106754</v>
      </c>
      <c r="AN19" s="594">
        <f t="shared" si="2"/>
        <v>17.257650750172328</v>
      </c>
      <c r="AO19" s="594">
        <f t="shared" si="2"/>
        <v>1.6406083333333334</v>
      </c>
      <c r="AP19" s="594">
        <f t="shared" si="2"/>
        <v>2.713906375995124</v>
      </c>
      <c r="AQ19" s="594">
        <f t="shared" si="2"/>
        <v>20.281439999999996</v>
      </c>
      <c r="AR19" s="595">
        <f t="shared" si="2"/>
        <v>21.594515789762383</v>
      </c>
      <c r="AS19" s="4"/>
      <c r="AT19" s="4"/>
      <c r="AU19" s="40"/>
      <c r="AV19" s="588" t="s">
        <v>627</v>
      </c>
      <c r="AW19" s="463"/>
      <c r="AX19" s="589"/>
      <c r="AY19" s="590">
        <f t="shared" ref="AY19:BN19" si="3">AVERAGE(AY10:AY16)</f>
        <v>84668.2197</v>
      </c>
      <c r="AZ19" s="590">
        <f t="shared" si="3"/>
        <v>98970.55353333335</v>
      </c>
      <c r="BA19" s="596">
        <f t="shared" si="3"/>
        <v>0.05737416666666667</v>
      </c>
      <c r="BB19" s="596">
        <f t="shared" si="3"/>
        <v>0.07035394134444851</v>
      </c>
      <c r="BC19" s="596">
        <f t="shared" si="3"/>
        <v>0.024313833333333337</v>
      </c>
      <c r="BD19" s="596">
        <f t="shared" si="3"/>
        <v>0.08195950023741272</v>
      </c>
      <c r="BE19" s="596">
        <f t="shared" si="3"/>
        <v>0.2477345</v>
      </c>
      <c r="BF19" s="596">
        <f t="shared" si="3"/>
        <v>0.25115620759480345</v>
      </c>
      <c r="BG19" s="596">
        <f t="shared" si="3"/>
        <v>0.12470983333333334</v>
      </c>
      <c r="BH19" s="596">
        <f t="shared" si="3"/>
        <v>0.15695896203933532</v>
      </c>
      <c r="BI19" s="593">
        <f t="shared" si="3"/>
        <v>15.054556666666665</v>
      </c>
      <c r="BJ19" s="594">
        <f t="shared" si="3"/>
        <v>19.917704743955753</v>
      </c>
      <c r="BK19" s="594">
        <f t="shared" si="3"/>
        <v>3.837745</v>
      </c>
      <c r="BL19" s="594">
        <f t="shared" si="3"/>
        <v>5.089001130045863</v>
      </c>
      <c r="BM19" s="594">
        <f t="shared" si="3"/>
        <v>23.62187</v>
      </c>
      <c r="BN19" s="595">
        <f t="shared" si="3"/>
        <v>32.78685306050986</v>
      </c>
    </row>
    <row r="20" ht="13.5" customHeight="1" spans="1:66" x14ac:dyDescent="0.25">
      <c r="A20" s="4"/>
      <c r="B20" s="4"/>
      <c r="C20" s="40"/>
      <c r="D20" s="588" t="s">
        <v>628</v>
      </c>
      <c r="E20" s="463"/>
      <c r="F20" s="463"/>
      <c r="G20" s="590">
        <v>20890.73008</v>
      </c>
      <c r="H20" s="590">
        <v>28765.63008</v>
      </c>
      <c r="I20" s="591">
        <v>0.142365</v>
      </c>
      <c r="J20" s="591">
        <v>0.051819927392477316</v>
      </c>
      <c r="K20" s="591">
        <f>MEDIAN(K12:K16)</f>
        <v>-0.062735</v>
      </c>
      <c r="L20" s="592">
        <v>0.22575970149253743</v>
      </c>
      <c r="M20" s="591">
        <v>0.228577</v>
      </c>
      <c r="N20" s="591">
        <v>0.2995183852865738</v>
      </c>
      <c r="O20" s="591">
        <v>0.066502</v>
      </c>
      <c r="P20" s="591">
        <v>0.06504352284019128</v>
      </c>
      <c r="Q20" s="593">
        <v>15.0202</v>
      </c>
      <c r="R20" s="594">
        <v>14.559743219637127</v>
      </c>
      <c r="S20" s="594">
        <v>4.25457</v>
      </c>
      <c r="T20" s="594">
        <v>4.297543866298699</v>
      </c>
      <c r="U20" s="594">
        <v>53.40178</v>
      </c>
      <c r="V20" s="595">
        <v>35.75876427192242</v>
      </c>
      <c r="W20" s="8"/>
      <c r="X20" s="4"/>
      <c r="Y20" s="40"/>
      <c r="Z20" s="588" t="s">
        <v>628</v>
      </c>
      <c r="AA20" s="463"/>
      <c r="AB20" s="463"/>
      <c r="AC20" s="590">
        <f t="shared" ref="AC20:AR20" si="4">MEDIAN(AC10:AC16)</f>
        <v>79327.60286</v>
      </c>
      <c r="AD20" s="590">
        <f t="shared" si="4"/>
        <v>88943.10286000001</v>
      </c>
      <c r="AE20" s="596">
        <f t="shared" si="4"/>
        <v>0.07876449999999999</v>
      </c>
      <c r="AF20" s="596">
        <f t="shared" si="4"/>
        <v>0.050245350288697144</v>
      </c>
      <c r="AG20" s="596">
        <f t="shared" si="4"/>
        <v>0.43208399999999997</v>
      </c>
      <c r="AH20" s="596">
        <f t="shared" si="4"/>
        <v>-0.18521987642728777</v>
      </c>
      <c r="AI20" s="596">
        <f t="shared" si="4"/>
        <v>0.14764</v>
      </c>
      <c r="AJ20" s="596">
        <f t="shared" si="4"/>
        <v>0.15568117318519226</v>
      </c>
      <c r="AK20" s="596">
        <f t="shared" si="4"/>
        <v>0.09248599999999998</v>
      </c>
      <c r="AL20" s="596">
        <f t="shared" si="4"/>
        <v>0.10152294620790997</v>
      </c>
      <c r="AM20" s="593">
        <f t="shared" si="4"/>
        <v>10.01997</v>
      </c>
      <c r="AN20" s="594">
        <f t="shared" si="4"/>
        <v>13.415392350311915</v>
      </c>
      <c r="AO20" s="594">
        <f t="shared" si="4"/>
        <v>1.7294399999999999</v>
      </c>
      <c r="AP20" s="594">
        <f t="shared" si="4"/>
        <v>2.1093364343746774</v>
      </c>
      <c r="AQ20" s="594">
        <f t="shared" si="4"/>
        <v>13.61295</v>
      </c>
      <c r="AR20" s="595">
        <f t="shared" si="4"/>
        <v>20.919526956583937</v>
      </c>
      <c r="AS20" s="4"/>
      <c r="AT20" s="4"/>
      <c r="AU20" s="40"/>
      <c r="AV20" s="588" t="s">
        <v>628</v>
      </c>
      <c r="AW20" s="463"/>
      <c r="AX20" s="463"/>
      <c r="AY20" s="590">
        <f t="shared" ref="AY20:BN20" si="5">MEDIAN(AY10:AY16)</f>
        <v>87747.448625</v>
      </c>
      <c r="AZ20" s="590">
        <f t="shared" si="5"/>
        <v>97098.44862499999</v>
      </c>
      <c r="BA20" s="596">
        <f t="shared" si="5"/>
        <v>0.07276250000000001</v>
      </c>
      <c r="BB20" s="596">
        <f t="shared" si="5"/>
        <v>0.08415272317348965</v>
      </c>
      <c r="BC20" s="596">
        <f t="shared" si="5"/>
        <v>0.131942</v>
      </c>
      <c r="BD20" s="596">
        <f t="shared" si="5"/>
        <v>0.13611629906692402</v>
      </c>
      <c r="BE20" s="596">
        <f t="shared" si="5"/>
        <v>0.26306050000000003</v>
      </c>
      <c r="BF20" s="596">
        <f t="shared" si="5"/>
        <v>0.25971190764599195</v>
      </c>
      <c r="BG20" s="596">
        <f t="shared" si="5"/>
        <v>0.149469</v>
      </c>
      <c r="BH20" s="596">
        <f t="shared" si="5"/>
        <v>0.16356126932180767</v>
      </c>
      <c r="BI20" s="593">
        <f t="shared" si="5"/>
        <v>16.63175</v>
      </c>
      <c r="BJ20" s="594">
        <f t="shared" si="5"/>
        <v>20.342638651042556</v>
      </c>
      <c r="BK20" s="594">
        <f t="shared" si="5"/>
        <v>3.42533</v>
      </c>
      <c r="BL20" s="594">
        <f t="shared" si="5"/>
        <v>4.264131592108762</v>
      </c>
      <c r="BM20" s="594">
        <f t="shared" si="5"/>
        <v>24.43376</v>
      </c>
      <c r="BN20" s="595">
        <f t="shared" si="5"/>
        <v>29.67121723202159</v>
      </c>
    </row>
    <row r="21" ht="13.5" customHeight="1" spans="1:66" x14ac:dyDescent="0.25">
      <c r="A21" s="4"/>
      <c r="B21" s="4"/>
      <c r="C21" s="40"/>
      <c r="D21" s="597" t="s">
        <v>165</v>
      </c>
      <c r="E21" s="598"/>
      <c r="F21" s="598"/>
      <c r="G21" s="599">
        <v>6591.2619</v>
      </c>
      <c r="H21" s="599">
        <v>7638.1089</v>
      </c>
      <c r="I21" s="600">
        <v>0.028506</v>
      </c>
      <c r="J21" s="600">
        <v>-0.16099673619944033</v>
      </c>
      <c r="K21" s="600">
        <f>MIN(K12:K16)</f>
        <v>-0.340956</v>
      </c>
      <c r="L21" s="601">
        <v>-1.2808834758523873</v>
      </c>
      <c r="M21" s="600">
        <v>0.18452300000000002</v>
      </c>
      <c r="N21" s="600">
        <v>0.19432895832942157</v>
      </c>
      <c r="O21" s="600">
        <v>0.008498</v>
      </c>
      <c r="P21" s="600">
        <v>0.03474699871835844</v>
      </c>
      <c r="Q21" s="602">
        <v>11.48395</v>
      </c>
      <c r="R21" s="603">
        <v>13.89210821934113</v>
      </c>
      <c r="S21" s="603">
        <v>2.73564</v>
      </c>
      <c r="T21" s="603">
        <v>2.72081762908332</v>
      </c>
      <c r="U21" s="603">
        <v>33.79552</v>
      </c>
      <c r="V21" s="604">
        <v>27.696829071600675</v>
      </c>
      <c r="W21" s="8"/>
      <c r="X21" s="4"/>
      <c r="Y21" s="40"/>
      <c r="Z21" s="597" t="s">
        <v>165</v>
      </c>
      <c r="AA21" s="598"/>
      <c r="AB21" s="598"/>
      <c r="AC21" s="599">
        <f t="shared" ref="AC21:AR21" si="6">MIN(AC10:AC16)</f>
        <v>6040.93556</v>
      </c>
      <c r="AD21" s="599">
        <f t="shared" si="6"/>
        <v>5561.83856</v>
      </c>
      <c r="AE21" s="605">
        <f t="shared" si="6"/>
        <v>-0.07428799999999999</v>
      </c>
      <c r="AF21" s="605">
        <f t="shared" si="6"/>
        <v>-0.014799398896709226</v>
      </c>
      <c r="AG21" s="605">
        <f t="shared" si="6"/>
        <v>0.124316</v>
      </c>
      <c r="AH21" s="605">
        <f t="shared" si="6"/>
        <v>-2.5665133721199402</v>
      </c>
      <c r="AI21" s="605">
        <f t="shared" si="6"/>
        <v>-0.029095</v>
      </c>
      <c r="AJ21" s="605">
        <f t="shared" si="6"/>
        <v>0.07583617298307273</v>
      </c>
      <c r="AK21" s="605">
        <f t="shared" si="6"/>
        <v>-0.14303000000000002</v>
      </c>
      <c r="AL21" s="605">
        <f t="shared" si="6"/>
        <v>-0.005421097632900035</v>
      </c>
      <c r="AM21" s="602">
        <f t="shared" si="6"/>
        <v>0</v>
      </c>
      <c r="AN21" s="603">
        <f t="shared" si="6"/>
        <v>10.442453685118846</v>
      </c>
      <c r="AO21" s="603">
        <f t="shared" si="6"/>
        <v>0</v>
      </c>
      <c r="AP21" s="603">
        <f t="shared" si="6"/>
        <v>0.993771663980303</v>
      </c>
      <c r="AQ21" s="603">
        <f t="shared" si="6"/>
        <v>0</v>
      </c>
      <c r="AR21" s="604">
        <f t="shared" si="6"/>
        <v>13.436305184315913</v>
      </c>
      <c r="AS21" s="4"/>
      <c r="AT21" s="4"/>
      <c r="AU21" s="40"/>
      <c r="AV21" s="597" t="s">
        <v>165</v>
      </c>
      <c r="AW21" s="598"/>
      <c r="AX21" s="598"/>
      <c r="AY21" s="599">
        <f t="shared" ref="AY21:BN21" si="7">MIN(AY10:AY16)</f>
        <v>6040.93556</v>
      </c>
      <c r="AZ21" s="599">
        <f t="shared" si="7"/>
        <v>5561.83856</v>
      </c>
      <c r="BA21" s="605">
        <f t="shared" si="7"/>
        <v>-0.083477</v>
      </c>
      <c r="BB21" s="605">
        <f t="shared" si="7"/>
        <v>-0.036353036963538865</v>
      </c>
      <c r="BC21" s="605">
        <f t="shared" si="7"/>
        <v>-0.342387</v>
      </c>
      <c r="BD21" s="605">
        <f t="shared" si="7"/>
        <v>-0.5777118713986096</v>
      </c>
      <c r="BE21" s="605">
        <f t="shared" si="7"/>
        <v>0.08612500000000001</v>
      </c>
      <c r="BF21" s="605">
        <f t="shared" si="7"/>
        <v>0.10098877292986558</v>
      </c>
      <c r="BG21" s="605">
        <f t="shared" si="7"/>
        <v>-0.03102</v>
      </c>
      <c r="BH21" s="605">
        <f t="shared" si="7"/>
        <v>0.027997383350577984</v>
      </c>
      <c r="BI21" s="602">
        <f t="shared" si="7"/>
        <v>0</v>
      </c>
      <c r="BJ21" s="603">
        <f t="shared" si="7"/>
        <v>13.364261803244904</v>
      </c>
      <c r="BK21" s="603">
        <f t="shared" si="7"/>
        <v>0</v>
      </c>
      <c r="BL21" s="603">
        <f t="shared" si="7"/>
        <v>2.1552540183700164</v>
      </c>
      <c r="BM21" s="603">
        <f t="shared" si="7"/>
        <v>0</v>
      </c>
      <c r="BN21" s="604">
        <f t="shared" si="7"/>
        <v>19.41404473831319</v>
      </c>
    </row>
    <row r="22" ht="13.5" customHeight="1" spans="1:66" x14ac:dyDescent="0.25">
      <c r="A22" s="4"/>
      <c r="B22" s="4"/>
      <c r="C22" s="40"/>
      <c r="D22" s="8"/>
      <c r="E22" s="8"/>
      <c r="F22" s="8"/>
      <c r="G22" s="8"/>
      <c r="H22" s="8"/>
      <c r="I22" s="8"/>
      <c r="J22" s="8"/>
      <c r="K22" s="8"/>
      <c r="L22" s="8"/>
      <c r="M22" s="8"/>
      <c r="N22" s="8"/>
      <c r="O22" s="8"/>
      <c r="P22" s="8"/>
      <c r="Q22" s="8"/>
      <c r="R22" s="8"/>
      <c r="S22" s="8"/>
      <c r="T22" s="8"/>
      <c r="U22" s="8"/>
      <c r="V22" s="8"/>
      <c r="W22" s="8"/>
      <c r="X22" s="4"/>
      <c r="Y22" s="40"/>
      <c r="Z22" s="8"/>
      <c r="AA22" s="8"/>
      <c r="AB22" s="8"/>
      <c r="AC22" s="8"/>
      <c r="AD22" s="8"/>
      <c r="AE22" s="8"/>
      <c r="AF22" s="8"/>
      <c r="AG22" s="8"/>
      <c r="AH22" s="8"/>
      <c r="AI22" s="8"/>
      <c r="AJ22" s="8"/>
      <c r="AK22" s="8"/>
      <c r="AL22" s="8"/>
      <c r="AM22" s="8"/>
      <c r="AN22" s="8"/>
      <c r="AO22" s="8"/>
      <c r="AP22" s="8"/>
      <c r="AQ22" s="8"/>
      <c r="AR22" s="8"/>
      <c r="AS22" s="4"/>
      <c r="AT22" s="4"/>
      <c r="AU22" s="40"/>
      <c r="AV22" s="8"/>
      <c r="AW22" s="8"/>
      <c r="AX22" s="8"/>
      <c r="AY22" s="8"/>
      <c r="AZ22" s="8"/>
      <c r="BA22" s="8"/>
      <c r="BB22" s="8"/>
      <c r="BC22" s="8"/>
      <c r="BD22" s="8"/>
      <c r="BE22" s="8"/>
      <c r="BF22" s="8"/>
      <c r="BG22" s="8"/>
      <c r="BH22" s="8"/>
      <c r="BI22" s="8"/>
      <c r="BJ22" s="8"/>
      <c r="BK22" s="8"/>
      <c r="BL22" s="8"/>
      <c r="BM22" s="8"/>
      <c r="BN22" s="8"/>
    </row>
    <row r="23" ht="13.5" customHeight="1" spans="1:66" x14ac:dyDescent="0.25">
      <c r="A23" s="4"/>
      <c r="B23" s="4"/>
      <c r="C23" s="40" t="s">
        <v>3</v>
      </c>
      <c r="D23" s="561" t="s">
        <v>629</v>
      </c>
      <c r="E23" s="561"/>
      <c r="F23" s="561"/>
      <c r="G23" s="561" t="s">
        <v>630</v>
      </c>
      <c r="H23" s="561"/>
      <c r="I23" s="561"/>
      <c r="J23" s="561" t="s">
        <v>631</v>
      </c>
      <c r="K23" s="561"/>
      <c r="L23" s="561"/>
      <c r="M23" s="561" t="str">
        <f>TEXT(Last_FYE,"yyyy")&amp;"A"&amp;" Leverage Analysis"</f>
        <v>2025A Leverage Analysis</v>
      </c>
      <c r="N23" s="561"/>
      <c r="O23" s="561"/>
      <c r="P23" s="561" t="str">
        <f>TEXT(Last_FYE,"yyyy")&amp;"A"&amp;" Coverage Analysis"</f>
        <v>2025A Coverage Analysis</v>
      </c>
      <c r="Q23" s="561"/>
      <c r="R23" s="561"/>
      <c r="S23" s="561" t="s">
        <v>632</v>
      </c>
      <c r="T23" s="561"/>
      <c r="U23" s="561" t="s">
        <v>633</v>
      </c>
      <c r="V23" s="561"/>
      <c r="W23" s="8"/>
      <c r="X23" s="4"/>
      <c r="Y23" s="40" t="s">
        <v>3</v>
      </c>
      <c r="Z23" s="561" t="s">
        <v>629</v>
      </c>
      <c r="AA23" s="57"/>
      <c r="AB23" s="57"/>
      <c r="AC23" s="561" t="s">
        <v>630</v>
      </c>
      <c r="AD23" s="57"/>
      <c r="AE23" s="57"/>
      <c r="AF23" s="561" t="s">
        <v>631</v>
      </c>
      <c r="AG23" s="57"/>
      <c r="AH23" s="57"/>
      <c r="AI23" s="561" t="str">
        <f>TEXT(Last_FYE,"yyyy")&amp;"A"&amp;" Leverage Analysis"</f>
        <v>2025A Leverage Analysis</v>
      </c>
      <c r="AJ23" s="57"/>
      <c r="AK23" s="57"/>
      <c r="AL23" s="561" t="str">
        <f>TEXT(Last_FYE,"yyyy")&amp;"A"&amp;" Coverage Analysis"</f>
        <v>2025A Coverage Analysis</v>
      </c>
      <c r="AM23" s="57"/>
      <c r="AN23" s="57"/>
      <c r="AO23" s="561" t="s">
        <v>632</v>
      </c>
      <c r="AP23" s="57"/>
      <c r="AQ23" s="561" t="s">
        <v>633</v>
      </c>
      <c r="AR23" s="57"/>
      <c r="AS23" s="4"/>
      <c r="AT23" s="4"/>
      <c r="AU23" s="40" t="s">
        <v>3</v>
      </c>
      <c r="AV23" s="561" t="s">
        <v>629</v>
      </c>
      <c r="AW23" s="57"/>
      <c r="AX23" s="57"/>
      <c r="AY23" s="561" t="s">
        <v>630</v>
      </c>
      <c r="AZ23" s="57"/>
      <c r="BA23" s="57"/>
      <c r="BB23" s="561" t="s">
        <v>631</v>
      </c>
      <c r="BC23" s="57"/>
      <c r="BD23" s="57"/>
      <c r="BE23" s="561" t="str">
        <f>TEXT(Last_FYE,"yyyy")&amp;"A"&amp;" Leverage Analysis"</f>
        <v>2025A Leverage Analysis</v>
      </c>
      <c r="BF23" s="57"/>
      <c r="BG23" s="57"/>
      <c r="BH23" s="561" t="str">
        <f>TEXT(Last_FYE,"yyyy")&amp;"A"&amp;" Coverage Analysis"</f>
        <v>2025A Coverage Analysis</v>
      </c>
      <c r="BI23" s="57"/>
      <c r="BJ23" s="57"/>
      <c r="BK23" s="561" t="s">
        <v>632</v>
      </c>
      <c r="BL23" s="57"/>
      <c r="BM23" s="561" t="s">
        <v>633</v>
      </c>
      <c r="BN23" s="57"/>
    </row>
    <row r="24" ht="13.5" customHeight="1" spans="1:66" x14ac:dyDescent="0.25">
      <c r="A24" s="4"/>
      <c r="B24" s="4"/>
      <c r="C24" s="40"/>
      <c r="D24" s="8"/>
      <c r="E24" s="8"/>
      <c r="F24" s="8"/>
      <c r="G24" s="8"/>
      <c r="H24" s="8"/>
      <c r="I24" s="8"/>
      <c r="J24" s="8"/>
      <c r="K24" s="8"/>
      <c r="L24" s="8"/>
      <c r="M24" s="561" t="s">
        <v>634</v>
      </c>
      <c r="N24" s="561"/>
      <c r="O24" s="561"/>
      <c r="P24" s="8"/>
      <c r="Q24" s="8"/>
      <c r="R24" s="8"/>
      <c r="S24" s="8"/>
      <c r="T24" s="8"/>
      <c r="U24" s="8"/>
      <c r="V24" s="8"/>
      <c r="W24" s="8"/>
      <c r="X24" s="4"/>
      <c r="Y24" s="40"/>
      <c r="Z24" s="8"/>
      <c r="AA24" s="8"/>
      <c r="AB24" s="8"/>
      <c r="AC24" s="8"/>
      <c r="AD24" s="8"/>
      <c r="AE24" s="8"/>
      <c r="AF24" s="8"/>
      <c r="AG24" s="8"/>
      <c r="AH24" s="8"/>
      <c r="AI24" s="561" t="s">
        <v>634</v>
      </c>
      <c r="AJ24" s="57"/>
      <c r="AK24" s="57"/>
      <c r="AL24" s="8"/>
      <c r="AM24" s="8"/>
      <c r="AN24" s="8"/>
      <c r="AO24" s="8"/>
      <c r="AP24" s="8"/>
      <c r="AQ24" s="8"/>
      <c r="AR24" s="8"/>
      <c r="AS24" s="4"/>
      <c r="AT24" s="4"/>
      <c r="AU24" s="40"/>
      <c r="AV24" s="8"/>
      <c r="AW24" s="8"/>
      <c r="AX24" s="8"/>
      <c r="AY24" s="8"/>
      <c r="AZ24" s="8"/>
      <c r="BA24" s="8"/>
      <c r="BB24" s="8"/>
      <c r="BC24" s="8"/>
      <c r="BD24" s="8"/>
      <c r="BE24" s="561" t="s">
        <v>634</v>
      </c>
      <c r="BF24" s="57"/>
      <c r="BG24" s="57"/>
      <c r="BH24" s="8"/>
      <c r="BI24" s="8"/>
      <c r="BJ24" s="8"/>
      <c r="BK24" s="8"/>
      <c r="BL24" s="8"/>
      <c r="BM24" s="8"/>
      <c r="BN24" s="8"/>
    </row>
    <row r="25" ht="13.5" customHeight="1" spans="1:66" x14ac:dyDescent="0.25">
      <c r="A25" s="4"/>
      <c r="B25" s="4"/>
      <c r="C25" s="40"/>
      <c r="D25" s="75"/>
      <c r="E25" s="75"/>
      <c r="F25" s="75"/>
      <c r="G25" s="75"/>
      <c r="H25" s="75"/>
      <c r="I25" s="75" t="s">
        <v>635</v>
      </c>
      <c r="J25" s="75"/>
      <c r="K25" s="75"/>
      <c r="L25" s="75"/>
      <c r="M25" s="75"/>
      <c r="N25" s="75"/>
      <c r="O25" s="75"/>
      <c r="P25" s="75" t="s">
        <v>636</v>
      </c>
      <c r="Q25" s="340" t="s">
        <v>637</v>
      </c>
      <c r="R25" s="75" t="s">
        <v>638</v>
      </c>
      <c r="S25" s="75" t="s">
        <v>639</v>
      </c>
      <c r="T25" s="75" t="s">
        <v>640</v>
      </c>
      <c r="U25" s="75"/>
      <c r="V25" s="75"/>
      <c r="W25" s="8"/>
      <c r="X25" s="4"/>
      <c r="Y25" s="40"/>
      <c r="Z25" s="75"/>
      <c r="AA25" s="75"/>
      <c r="AB25" s="75"/>
      <c r="AC25" s="75"/>
      <c r="AD25" s="75"/>
      <c r="AE25" s="75" t="s">
        <v>635</v>
      </c>
      <c r="AF25" s="75"/>
      <c r="AG25" s="75"/>
      <c r="AH25" s="75"/>
      <c r="AI25" s="75"/>
      <c r="AJ25" s="75"/>
      <c r="AK25" s="75"/>
      <c r="AL25" s="75" t="s">
        <v>636</v>
      </c>
      <c r="AM25" s="340" t="s">
        <v>637</v>
      </c>
      <c r="AN25" s="75" t="s">
        <v>638</v>
      </c>
      <c r="AO25" s="75" t="s">
        <v>639</v>
      </c>
      <c r="AP25" s="75" t="s">
        <v>640</v>
      </c>
      <c r="AQ25" s="75"/>
      <c r="AR25" s="75"/>
      <c r="AS25" s="4"/>
      <c r="AT25" s="4"/>
      <c r="AU25" s="40"/>
      <c r="AV25" s="75"/>
      <c r="AW25" s="75"/>
      <c r="AX25" s="75"/>
      <c r="AY25" s="75"/>
      <c r="AZ25" s="75"/>
      <c r="BA25" s="75" t="s">
        <v>635</v>
      </c>
      <c r="BB25" s="75"/>
      <c r="BC25" s="75"/>
      <c r="BD25" s="75"/>
      <c r="BE25" s="75"/>
      <c r="BF25" s="75"/>
      <c r="BG25" s="75"/>
      <c r="BH25" s="75" t="s">
        <v>636</v>
      </c>
      <c r="BI25" s="340" t="s">
        <v>637</v>
      </c>
      <c r="BJ25" s="75" t="s">
        <v>638</v>
      </c>
      <c r="BK25" s="75" t="s">
        <v>639</v>
      </c>
      <c r="BL25" s="75" t="s">
        <v>640</v>
      </c>
      <c r="BM25" s="75"/>
      <c r="BN25" s="75"/>
    </row>
    <row r="26" ht="13.5" customHeight="1" spans="1:66" x14ac:dyDescent="0.25">
      <c r="A26" s="4"/>
      <c r="B26" s="4"/>
      <c r="C26" s="40"/>
      <c r="D26" s="130"/>
      <c r="E26" s="75"/>
      <c r="F26" s="561" t="s">
        <v>22</v>
      </c>
      <c r="G26" s="561" t="s">
        <v>298</v>
      </c>
      <c r="H26" s="561" t="s">
        <v>641</v>
      </c>
      <c r="I26" s="561" t="s">
        <v>642</v>
      </c>
      <c r="J26" s="561" t="s">
        <v>643</v>
      </c>
      <c r="K26" s="561" t="s">
        <v>644</v>
      </c>
      <c r="L26" s="561" t="s">
        <v>645</v>
      </c>
      <c r="M26" s="561" t="s">
        <v>603</v>
      </c>
      <c r="N26" s="561" t="s">
        <v>290</v>
      </c>
      <c r="O26" s="561" t="s">
        <v>646</v>
      </c>
      <c r="P26" s="561" t="s">
        <v>647</v>
      </c>
      <c r="Q26" s="606" t="s">
        <v>648</v>
      </c>
      <c r="R26" s="561" t="s">
        <v>647</v>
      </c>
      <c r="S26" s="561" t="s">
        <v>649</v>
      </c>
      <c r="T26" s="561" t="s">
        <v>649</v>
      </c>
      <c r="U26" s="561" t="s">
        <v>650</v>
      </c>
      <c r="V26" s="561" t="s">
        <v>651</v>
      </c>
      <c r="W26" s="8"/>
      <c r="X26" s="4"/>
      <c r="Y26" s="40"/>
      <c r="Z26" s="130"/>
      <c r="AA26" s="75"/>
      <c r="AB26" s="561" t="s">
        <v>22</v>
      </c>
      <c r="AC26" s="561" t="s">
        <v>298</v>
      </c>
      <c r="AD26" s="561" t="s">
        <v>641</v>
      </c>
      <c r="AE26" s="561" t="s">
        <v>642</v>
      </c>
      <c r="AF26" s="561" t="s">
        <v>643</v>
      </c>
      <c r="AG26" s="561" t="s">
        <v>644</v>
      </c>
      <c r="AH26" s="561" t="s">
        <v>645</v>
      </c>
      <c r="AI26" s="561" t="s">
        <v>603</v>
      </c>
      <c r="AJ26" s="561" t="s">
        <v>290</v>
      </c>
      <c r="AK26" s="561" t="s">
        <v>646</v>
      </c>
      <c r="AL26" s="561" t="s">
        <v>647</v>
      </c>
      <c r="AM26" s="606" t="s">
        <v>648</v>
      </c>
      <c r="AN26" s="561" t="s">
        <v>647</v>
      </c>
      <c r="AO26" s="561" t="s">
        <v>649</v>
      </c>
      <c r="AP26" s="561" t="s">
        <v>649</v>
      </c>
      <c r="AQ26" s="561" t="s">
        <v>650</v>
      </c>
      <c r="AR26" s="561" t="s">
        <v>651</v>
      </c>
      <c r="AS26" s="4"/>
      <c r="AT26" s="4"/>
      <c r="AU26" s="40"/>
      <c r="AV26" s="130"/>
      <c r="AW26" s="75"/>
      <c r="AX26" s="561" t="s">
        <v>22</v>
      </c>
      <c r="AY26" s="561" t="s">
        <v>298</v>
      </c>
      <c r="AZ26" s="561" t="s">
        <v>641</v>
      </c>
      <c r="BA26" s="561" t="s">
        <v>642</v>
      </c>
      <c r="BB26" s="561" t="s">
        <v>643</v>
      </c>
      <c r="BC26" s="561" t="s">
        <v>644</v>
      </c>
      <c r="BD26" s="561" t="s">
        <v>645</v>
      </c>
      <c r="BE26" s="561" t="s">
        <v>603</v>
      </c>
      <c r="BF26" s="561" t="s">
        <v>290</v>
      </c>
      <c r="BG26" s="561" t="s">
        <v>646</v>
      </c>
      <c r="BH26" s="561" t="s">
        <v>647</v>
      </c>
      <c r="BI26" s="606" t="s">
        <v>648</v>
      </c>
      <c r="BJ26" s="561" t="s">
        <v>647</v>
      </c>
      <c r="BK26" s="561" t="s">
        <v>649</v>
      </c>
      <c r="BL26" s="561" t="s">
        <v>649</v>
      </c>
      <c r="BM26" s="561" t="s">
        <v>650</v>
      </c>
      <c r="BN26" s="561" t="s">
        <v>651</v>
      </c>
    </row>
    <row r="27" ht="4.5" customHeight="1" spans="1:66" x14ac:dyDescent="0.25">
      <c r="A27" s="4"/>
      <c r="B27" s="4"/>
      <c r="C27" s="40"/>
      <c r="D27" s="75"/>
      <c r="E27" s="75"/>
      <c r="F27" s="75"/>
      <c r="G27" s="75"/>
      <c r="H27" s="75"/>
      <c r="I27" s="8"/>
      <c r="J27" s="563"/>
      <c r="K27" s="75"/>
      <c r="L27" s="75"/>
      <c r="M27" s="75"/>
      <c r="N27" s="75"/>
      <c r="O27" s="75"/>
      <c r="P27" s="75"/>
      <c r="Q27" s="75"/>
      <c r="R27" s="75"/>
      <c r="S27" s="75"/>
      <c r="T27" s="75"/>
      <c r="U27" s="75"/>
      <c r="V27" s="75"/>
      <c r="W27" s="8"/>
      <c r="X27" s="4"/>
      <c r="Y27" s="40"/>
      <c r="Z27" s="75"/>
      <c r="AA27" s="75"/>
      <c r="AB27" s="75"/>
      <c r="AC27" s="75"/>
      <c r="AD27" s="75"/>
      <c r="AE27" s="8"/>
      <c r="AF27" s="563"/>
      <c r="AG27" s="75"/>
      <c r="AH27" s="75"/>
      <c r="AI27" s="75"/>
      <c r="AJ27" s="75"/>
      <c r="AK27" s="75"/>
      <c r="AL27" s="75"/>
      <c r="AM27" s="75"/>
      <c r="AN27" s="75"/>
      <c r="AO27" s="75"/>
      <c r="AP27" s="75"/>
      <c r="AQ27" s="75"/>
      <c r="AR27" s="75"/>
      <c r="AS27" s="4"/>
      <c r="AT27" s="4"/>
      <c r="AU27" s="40"/>
      <c r="AV27" s="75"/>
      <c r="AW27" s="75"/>
      <c r="AX27" s="75"/>
      <c r="AY27" s="75"/>
      <c r="AZ27" s="75"/>
      <c r="BA27" s="8"/>
      <c r="BB27" s="563"/>
      <c r="BC27" s="75"/>
      <c r="BD27" s="75"/>
      <c r="BE27" s="75"/>
      <c r="BF27" s="75"/>
      <c r="BG27" s="75"/>
      <c r="BH27" s="75"/>
      <c r="BI27" s="75"/>
      <c r="BJ27" s="75"/>
      <c r="BK27" s="75"/>
      <c r="BL27" s="75"/>
      <c r="BM27" s="75"/>
      <c r="BN27" s="75"/>
    </row>
    <row r="28" ht="13.5" customHeight="1" spans="1:66" x14ac:dyDescent="0.25">
      <c r="A28" s="4"/>
      <c r="B28" s="4"/>
      <c r="C28" s="40"/>
      <c r="D28" s="10" t="s">
        <v>21</v>
      </c>
      <c r="E28" s="11"/>
      <c r="F28" s="54" t="s">
        <v>23</v>
      </c>
      <c r="G28" s="565">
        <v>0.15953900000000001</v>
      </c>
      <c r="H28" s="607">
        <v>0.55394</v>
      </c>
      <c r="I28" s="565">
        <v>0.011457</v>
      </c>
      <c r="J28" s="565">
        <v>0.11061495489048788</v>
      </c>
      <c r="K28" s="565">
        <v>0.18249300000000002</v>
      </c>
      <c r="L28" s="565">
        <v>0.06343</v>
      </c>
      <c r="M28" s="566">
        <v>0.531809</v>
      </c>
      <c r="N28" s="566">
        <v>2.53264</v>
      </c>
      <c r="O28" s="566">
        <v>1.135881</v>
      </c>
      <c r="P28" s="566">
        <v>9.49165</v>
      </c>
      <c r="Q28" s="566">
        <v>6.05009</v>
      </c>
      <c r="R28" s="566">
        <v>5.99629</v>
      </c>
      <c r="S28" s="607">
        <v>0.51962</v>
      </c>
      <c r="T28" s="607">
        <v>0.58285</v>
      </c>
      <c r="U28" s="54" t="s">
        <v>652</v>
      </c>
      <c r="V28" s="55" t="s">
        <v>653</v>
      </c>
      <c r="W28" s="8"/>
      <c r="X28" s="4"/>
      <c r="Y28" s="40"/>
      <c r="Z28" s="10" t="str">
        <f>Company_Name</f>
        <v>Republic Services, Inc.</v>
      </c>
      <c r="AA28" s="11"/>
      <c r="AB28" s="54" t="s">
        <v>605</v>
      </c>
      <c r="AC28" s="568">
        <v>0.246026</v>
      </c>
      <c r="AD28" s="607">
        <v>1.32679</v>
      </c>
      <c r="AE28" s="568">
        <v>0.015541000000000001</v>
      </c>
      <c r="AF28" s="568">
        <v>0.39441918935110964</v>
      </c>
      <c r="AG28" s="568">
        <v>3.353264</v>
      </c>
      <c r="AH28" s="568">
        <v>0.153199</v>
      </c>
      <c r="AI28" s="566">
        <v>94.8025</v>
      </c>
      <c r="AJ28" s="566">
        <v>1.9578</v>
      </c>
      <c r="AK28" s="566">
        <v>1824.0083</v>
      </c>
      <c r="AL28" s="566">
        <v>15.35321</v>
      </c>
      <c r="AM28" s="566">
        <v>13.29931</v>
      </c>
      <c r="AN28" s="566">
        <v>12.49083</v>
      </c>
      <c r="AO28" s="607">
        <v>0.27742</v>
      </c>
      <c r="AP28" s="607">
        <v>1.19199</v>
      </c>
      <c r="AQ28" s="54" t="s">
        <v>654</v>
      </c>
      <c r="AR28" s="55" t="s">
        <v>653</v>
      </c>
      <c r="AS28" s="4"/>
      <c r="AT28" s="4"/>
      <c r="AU28" s="40"/>
      <c r="AV28" s="10" t="str">
        <f>Company_Name</f>
        <v>Republic Services, Inc.</v>
      </c>
      <c r="AW28" s="11"/>
      <c r="AX28" s="54" t="s">
        <v>605</v>
      </c>
      <c r="AY28" s="568">
        <v>0.246026</v>
      </c>
      <c r="AZ28" s="607">
        <v>1.32679</v>
      </c>
      <c r="BA28" s="568">
        <v>0.015541000000000001</v>
      </c>
      <c r="BB28" s="568">
        <v>0.39441918935110964</v>
      </c>
      <c r="BC28" s="568">
        <v>3.353264</v>
      </c>
      <c r="BD28" s="568">
        <v>0.153199</v>
      </c>
      <c r="BE28" s="566">
        <v>94.8025</v>
      </c>
      <c r="BF28" s="566">
        <v>1.9578</v>
      </c>
      <c r="BG28" s="566">
        <v>1824.0083</v>
      </c>
      <c r="BH28" s="566">
        <v>15.35321</v>
      </c>
      <c r="BI28" s="566">
        <v>13.29931</v>
      </c>
      <c r="BJ28" s="566">
        <v>12.49083</v>
      </c>
      <c r="BK28" s="607">
        <v>0.27742</v>
      </c>
      <c r="BL28" s="607">
        <v>1.19199</v>
      </c>
      <c r="BM28" s="54" t="s">
        <v>654</v>
      </c>
      <c r="BN28" s="55" t="s">
        <v>653</v>
      </c>
    </row>
    <row r="29" ht="13.5" customHeight="1" spans="1:66" x14ac:dyDescent="0.25">
      <c r="A29" s="4"/>
      <c r="B29" s="4"/>
      <c r="C29" s="40"/>
      <c r="D29" s="8"/>
      <c r="E29" s="8"/>
      <c r="F29" s="75"/>
      <c r="G29" s="570"/>
      <c r="H29" s="75"/>
      <c r="I29" s="576"/>
      <c r="J29" s="576"/>
      <c r="K29" s="576"/>
      <c r="L29" s="576"/>
      <c r="M29" s="608"/>
      <c r="N29" s="575"/>
      <c r="O29" s="608"/>
      <c r="P29" s="575"/>
      <c r="Q29" s="571"/>
      <c r="R29" s="571"/>
      <c r="S29" s="75"/>
      <c r="T29" s="75"/>
      <c r="U29" s="75"/>
      <c r="V29" s="75"/>
      <c r="W29" s="8"/>
      <c r="X29" s="4"/>
      <c r="Y29" s="40"/>
      <c r="Z29" s="8"/>
      <c r="AA29" s="8"/>
      <c r="AB29" s="75"/>
      <c r="AC29" s="570"/>
      <c r="AD29" s="75"/>
      <c r="AE29" s="576"/>
      <c r="AF29" s="576"/>
      <c r="AG29" s="576"/>
      <c r="AH29" s="576"/>
      <c r="AI29" s="608"/>
      <c r="AJ29" s="575"/>
      <c r="AK29" s="608"/>
      <c r="AL29" s="575"/>
      <c r="AM29" s="571"/>
      <c r="AN29" s="571"/>
      <c r="AO29" s="75"/>
      <c r="AP29" s="75"/>
      <c r="AQ29" s="75"/>
      <c r="AR29" s="75"/>
      <c r="AS29" s="4"/>
      <c r="AT29" s="4"/>
      <c r="AU29" s="40"/>
      <c r="AV29" s="8"/>
      <c r="AW29" s="8"/>
      <c r="AX29" s="75"/>
      <c r="AY29" s="570"/>
      <c r="AZ29" s="75"/>
      <c r="BA29" s="576"/>
      <c r="BB29" s="576"/>
      <c r="BC29" s="576"/>
      <c r="BD29" s="576"/>
      <c r="BE29" s="608"/>
      <c r="BF29" s="575"/>
      <c r="BG29" s="608"/>
      <c r="BH29" s="575"/>
      <c r="BI29" s="571"/>
      <c r="BJ29" s="571"/>
      <c r="BK29" s="75"/>
      <c r="BL29" s="75"/>
      <c r="BM29" s="75"/>
      <c r="BN29" s="75"/>
    </row>
    <row r="30" ht="13.5" customHeight="1" spans="1:66" x14ac:dyDescent="0.25">
      <c r="A30" s="4"/>
      <c r="B30" s="4"/>
      <c r="C30" s="40"/>
      <c r="D30" s="8" t="s">
        <v>606</v>
      </c>
      <c r="E30" s="8"/>
      <c r="F30" s="75" t="s">
        <v>607</v>
      </c>
      <c r="G30" s="573">
        <v>0.209281</v>
      </c>
      <c r="H30" s="609">
        <v>0.58583</v>
      </c>
      <c r="I30" s="573">
        <v>0.014574</v>
      </c>
      <c r="J30" s="573">
        <v>0.11395136948343884</v>
      </c>
      <c r="K30" s="573">
        <v>0.296958</v>
      </c>
      <c r="L30" s="573">
        <v>0.065153</v>
      </c>
      <c r="M30" s="575">
        <v>0.696303</v>
      </c>
      <c r="N30" s="575">
        <v>3.02403</v>
      </c>
      <c r="O30" s="575">
        <v>2.292763</v>
      </c>
      <c r="P30" s="575">
        <v>8.30592</v>
      </c>
      <c r="Q30" s="575">
        <v>4.76754</v>
      </c>
      <c r="R30" s="575">
        <v>5.16667</v>
      </c>
      <c r="S30" s="609">
        <v>0.77046</v>
      </c>
      <c r="T30" s="609">
        <v>0.88885</v>
      </c>
      <c r="U30" s="75" t="s">
        <v>652</v>
      </c>
      <c r="V30" s="75" t="s">
        <v>655</v>
      </c>
      <c r="W30" s="8"/>
      <c r="X30" s="4"/>
      <c r="Y30" s="40"/>
      <c r="Z30" s="8" t="e">
        <f>Z53</f>
        <v>#NAME?</v>
      </c>
      <c r="AA30" s="8"/>
      <c r="AB30" s="75" t="s">
        <v>608</v>
      </c>
      <c r="AC30" s="570">
        <v>0.14074</v>
      </c>
      <c r="AD30" s="609">
        <v>1.0574</v>
      </c>
      <c r="AE30" s="570">
        <v>0.023887000000000002</v>
      </c>
      <c r="AF30" s="570">
        <v>0.21877749021799892</v>
      </c>
      <c r="AG30" s="570">
        <v>0.032482000000000004</v>
      </c>
      <c r="AH30" s="570">
        <v>0.017917000000000002</v>
      </c>
      <c r="AI30" s="575">
        <v>31.4015</v>
      </c>
      <c r="AJ30" s="575">
        <v>4.73816</v>
      </c>
      <c r="AK30" s="575">
        <v>45.7758</v>
      </c>
      <c r="AL30" s="575">
        <v>5.0696</v>
      </c>
      <c r="AM30" s="575">
        <v>3.79474</v>
      </c>
      <c r="AN30" s="575">
        <v>1.76491</v>
      </c>
      <c r="AO30" s="609">
        <v>0.78071</v>
      </c>
      <c r="AP30" s="609">
        <v>1.21</v>
      </c>
      <c r="AQ30" s="75" t="s">
        <v>652</v>
      </c>
      <c r="AR30" s="75" t="s">
        <v>655</v>
      </c>
      <c r="AS30" s="4"/>
      <c r="AT30" s="4"/>
      <c r="AU30" s="40"/>
      <c r="AV30" s="8" t="e">
        <f>AV53</f>
        <v>#NAME?</v>
      </c>
      <c r="AW30" s="8"/>
      <c r="AX30" s="75" t="s">
        <v>609</v>
      </c>
      <c r="AY30" s="570">
        <v>0.19654</v>
      </c>
      <c r="AZ30" s="609">
        <v>0.95802</v>
      </c>
      <c r="BA30" s="570">
        <v>0.030351</v>
      </c>
      <c r="BB30" s="570">
        <v>0.22662902487906014</v>
      </c>
      <c r="BC30" s="570">
        <v>0.466124</v>
      </c>
      <c r="BD30" s="570">
        <v>0.10926399999999999</v>
      </c>
      <c r="BE30" s="575">
        <v>60.4629</v>
      </c>
      <c r="BF30" s="575">
        <v>2.09659</v>
      </c>
      <c r="BG30" s="575">
        <v>152.927</v>
      </c>
      <c r="BH30" s="575">
        <v>17.82987</v>
      </c>
      <c r="BI30" s="575">
        <v>14.99244</v>
      </c>
      <c r="BJ30" s="575">
        <v>13.36862</v>
      </c>
      <c r="BK30" s="609">
        <v>1.24245</v>
      </c>
      <c r="BL30" s="609">
        <v>1.885</v>
      </c>
      <c r="BM30" s="75" t="s">
        <v>656</v>
      </c>
      <c r="BN30" s="75" t="s">
        <v>655</v>
      </c>
    </row>
    <row r="31" ht="13.5" customHeight="1" spans="1:66" x14ac:dyDescent="0.25">
      <c r="A31" s="4"/>
      <c r="B31" s="4"/>
      <c r="C31" s="40"/>
      <c r="D31" s="8" t="s">
        <v>610</v>
      </c>
      <c r="E31" s="8"/>
      <c r="F31" s="75" t="s">
        <v>611</v>
      </c>
      <c r="G31" s="573">
        <v>0.191842</v>
      </c>
      <c r="H31" s="609">
        <v>0.61823</v>
      </c>
      <c r="I31" s="573">
        <v>0.007443</v>
      </c>
      <c r="J31" s="573">
        <v>0.060684863017977334</v>
      </c>
      <c r="K31" s="573">
        <v>0.076069</v>
      </c>
      <c r="L31" s="573">
        <v>0.038881</v>
      </c>
      <c r="M31" s="575">
        <v>0.516831</v>
      </c>
      <c r="N31" s="575">
        <v>3.44152</v>
      </c>
      <c r="O31" s="575">
        <v>1.069672</v>
      </c>
      <c r="P31" s="575">
        <v>7.47576</v>
      </c>
      <c r="Q31" s="575">
        <v>4.2445</v>
      </c>
      <c r="R31" s="575">
        <v>3.75151</v>
      </c>
      <c r="S31" s="609">
        <v>0.55648</v>
      </c>
      <c r="T31" s="609">
        <v>0.65302</v>
      </c>
      <c r="U31" s="75" t="s">
        <v>654</v>
      </c>
      <c r="V31" s="75" t="s">
        <v>653</v>
      </c>
      <c r="W31" s="8"/>
      <c r="X31" s="4"/>
      <c r="Y31" s="40"/>
      <c r="Z31" s="8" t="e">
        <f>Z54</f>
        <v>#NAME?</v>
      </c>
      <c r="AA31" s="8"/>
      <c r="AB31" s="75" t="s">
        <v>612</v>
      </c>
      <c r="AC31" s="570">
        <v>0.14074</v>
      </c>
      <c r="AD31" s="609">
        <v>1.62028</v>
      </c>
      <c r="AE31" s="570">
        <v>0</v>
      </c>
      <c r="AF31" s="570">
        <v>0.21877749021799892</v>
      </c>
      <c r="AG31" s="570">
        <v>0.032482000000000004</v>
      </c>
      <c r="AH31" s="570">
        <v>-0.016131</v>
      </c>
      <c r="AI31" s="575">
        <v>138.5723</v>
      </c>
      <c r="AJ31" s="575" t="s">
        <v>613</v>
      </c>
      <c r="AK31" s="575" t="s">
        <v>613</v>
      </c>
      <c r="AL31" s="575" t="s">
        <v>613</v>
      </c>
      <c r="AM31" s="575" t="s">
        <v>613</v>
      </c>
      <c r="AN31" s="575" t="s">
        <v>613</v>
      </c>
      <c r="AO31" s="609">
        <v>0.40835</v>
      </c>
      <c r="AP31" s="609">
        <v>1.3937</v>
      </c>
      <c r="AQ31" s="75" t="s">
        <v>657</v>
      </c>
      <c r="AR31" s="75" t="s">
        <v>655</v>
      </c>
      <c r="AS31" s="4"/>
      <c r="AT31" s="4"/>
      <c r="AU31" s="40"/>
      <c r="AV31" s="8" t="e">
        <f>AV54</f>
        <v>#NAME?</v>
      </c>
      <c r="AW31" s="8"/>
      <c r="AX31" s="75" t="s">
        <v>614</v>
      </c>
      <c r="AY31" s="570">
        <v>0.19654</v>
      </c>
      <c r="AZ31" s="609">
        <v>1.07651</v>
      </c>
      <c r="BA31" s="570">
        <v>0.0030159999999999996</v>
      </c>
      <c r="BB31" s="570">
        <v>0.22662902487906014</v>
      </c>
      <c r="BC31" s="570">
        <v>0.002275</v>
      </c>
      <c r="BD31" s="570">
        <v>0.0022489999999999997</v>
      </c>
      <c r="BE31" s="575">
        <v>67.7933</v>
      </c>
      <c r="BF31" s="575">
        <v>11.46958</v>
      </c>
      <c r="BG31" s="575">
        <v>210.4952</v>
      </c>
      <c r="BH31" s="575">
        <v>5.10428</v>
      </c>
      <c r="BI31" s="575">
        <v>2.66467</v>
      </c>
      <c r="BJ31" s="575" t="s">
        <v>613</v>
      </c>
      <c r="BK31" s="609">
        <v>1.21993</v>
      </c>
      <c r="BL31" s="609">
        <v>1.57684</v>
      </c>
      <c r="BM31" s="75" t="s">
        <v>654</v>
      </c>
      <c r="BN31" s="75" t="s">
        <v>658</v>
      </c>
    </row>
    <row r="32" ht="13.5" customHeight="1" spans="1:66" x14ac:dyDescent="0.25">
      <c r="A32" s="4"/>
      <c r="B32" s="4"/>
      <c r="C32" s="40"/>
      <c r="D32" s="8" t="s">
        <v>615</v>
      </c>
      <c r="E32" s="8"/>
      <c r="F32" s="75" t="s">
        <v>616</v>
      </c>
      <c r="G32" s="573">
        <v>0.219</v>
      </c>
      <c r="H32" s="609">
        <v>0.55827</v>
      </c>
      <c r="I32" s="573">
        <v>0.001446</v>
      </c>
      <c r="J32" s="573">
        <v>0.028</v>
      </c>
      <c r="K32" s="573">
        <v>0.015771</v>
      </c>
      <c r="L32" s="573">
        <v>0.020813</v>
      </c>
      <c r="M32" s="575">
        <v>0.593617</v>
      </c>
      <c r="N32" s="575">
        <v>5.06214</v>
      </c>
      <c r="O32" s="575">
        <v>1.460736</v>
      </c>
      <c r="P32" s="575">
        <v>3.5</v>
      </c>
      <c r="Q32" s="575">
        <v>1.49631</v>
      </c>
      <c r="R32" s="575">
        <v>0.86681</v>
      </c>
      <c r="S32" s="609">
        <v>0.44273</v>
      </c>
      <c r="T32" s="609">
        <v>0.53817</v>
      </c>
      <c r="U32" s="75" t="s">
        <v>659</v>
      </c>
      <c r="V32" s="75" t="s">
        <v>653</v>
      </c>
      <c r="W32" s="8"/>
      <c r="X32" s="4"/>
      <c r="Y32" s="40"/>
      <c r="Z32" s="8" t="e">
        <f>Z55</f>
        <v>#NAME?</v>
      </c>
      <c r="AA32" s="8"/>
      <c r="AB32" s="75" t="s">
        <v>617</v>
      </c>
      <c r="AC32" s="570">
        <v>0.14074</v>
      </c>
      <c r="AD32" s="609">
        <v>1.00423</v>
      </c>
      <c r="AE32" s="570">
        <v>0.022029999999999998</v>
      </c>
      <c r="AF32" s="570">
        <v>0.21877749021799892</v>
      </c>
      <c r="AG32" s="570">
        <v>0.399465</v>
      </c>
      <c r="AH32" s="570">
        <v>0.06958400000000001</v>
      </c>
      <c r="AI32" s="575">
        <v>49.7222</v>
      </c>
      <c r="AJ32" s="575">
        <v>1.52846</v>
      </c>
      <c r="AK32" s="575">
        <v>98.8953</v>
      </c>
      <c r="AL32" s="575">
        <v>10.78947</v>
      </c>
      <c r="AM32" s="575">
        <v>7.69298</v>
      </c>
      <c r="AN32" s="575">
        <v>7.77193</v>
      </c>
      <c r="AO32" s="609">
        <v>0.95642</v>
      </c>
      <c r="AP32" s="609">
        <v>1.09793</v>
      </c>
      <c r="AQ32" s="75" t="s">
        <v>657</v>
      </c>
      <c r="AR32" s="75" t="s">
        <v>655</v>
      </c>
      <c r="AS32" s="4"/>
      <c r="AT32" s="4"/>
      <c r="AU32" s="40"/>
      <c r="AV32" s="8" t="e">
        <f>AV55</f>
        <v>#NAME?</v>
      </c>
      <c r="AW32" s="8"/>
      <c r="AX32" s="75" t="s">
        <v>618</v>
      </c>
      <c r="AY32" s="570">
        <v>0.19078499999999998</v>
      </c>
      <c r="AZ32" s="609">
        <v>1.18583</v>
      </c>
      <c r="BA32" s="570">
        <v>0.016094</v>
      </c>
      <c r="BB32" s="570">
        <v>0.20011679501698756</v>
      </c>
      <c r="BC32" s="570">
        <v>0.276365</v>
      </c>
      <c r="BD32" s="570">
        <v>0.070619</v>
      </c>
      <c r="BE32" s="575">
        <v>56.6022</v>
      </c>
      <c r="BF32" s="575">
        <v>2.93637</v>
      </c>
      <c r="BG32" s="575">
        <v>130.4264</v>
      </c>
      <c r="BH32" s="575">
        <v>22.0195</v>
      </c>
      <c r="BI32" s="575">
        <v>19.49582</v>
      </c>
      <c r="BJ32" s="575">
        <v>18.53482</v>
      </c>
      <c r="BK32" s="609">
        <v>1.15815</v>
      </c>
      <c r="BL32" s="609">
        <v>1.46768</v>
      </c>
      <c r="BM32" s="75" t="s">
        <v>660</v>
      </c>
      <c r="BN32" s="75" t="s">
        <v>653</v>
      </c>
    </row>
    <row r="33" ht="13.5" customHeight="1" spans="1:66" x14ac:dyDescent="0.25">
      <c r="A33" s="4"/>
      <c r="B33" s="4"/>
      <c r="C33" s="40"/>
      <c r="D33" s="8" t="s">
        <v>619</v>
      </c>
      <c r="E33" s="8"/>
      <c r="F33" s="75" t="s">
        <v>620</v>
      </c>
      <c r="G33" s="573">
        <v>0.356898</v>
      </c>
      <c r="H33" s="609">
        <v>0.78886</v>
      </c>
      <c r="I33" s="573">
        <v>0</v>
      </c>
      <c r="J33" s="573">
        <v>0.022531302837261326</v>
      </c>
      <c r="K33" s="573">
        <v>0.009847</v>
      </c>
      <c r="L33" s="573">
        <v>0.017881</v>
      </c>
      <c r="M33" s="575">
        <v>0.438444</v>
      </c>
      <c r="N33" s="575">
        <v>3.29607</v>
      </c>
      <c r="O33" s="575">
        <v>0.780766</v>
      </c>
      <c r="P33" s="575">
        <v>5.88614</v>
      </c>
      <c r="Q33" s="575">
        <v>2.62987</v>
      </c>
      <c r="R33" s="575">
        <v>1.67096</v>
      </c>
      <c r="S33" s="609">
        <v>1.74775</v>
      </c>
      <c r="T33" s="609">
        <v>1.99568</v>
      </c>
      <c r="U33" s="75" t="s">
        <v>659</v>
      </c>
      <c r="V33" s="75" t="s">
        <v>653</v>
      </c>
      <c r="W33" s="8"/>
      <c r="X33" s="4"/>
      <c r="Y33" s="40"/>
      <c r="Z33" s="8" t="e">
        <f>Z56</f>
        <v>#NAME?</v>
      </c>
      <c r="AA33" s="8"/>
      <c r="AB33" s="75" t="s">
        <v>621</v>
      </c>
      <c r="AC33" s="570">
        <v>0.16357</v>
      </c>
      <c r="AD33" s="609">
        <v>0.97956</v>
      </c>
      <c r="AE33" s="570">
        <v>0.028730000000000002</v>
      </c>
      <c r="AF33" s="570">
        <v>0.47399097894209075</v>
      </c>
      <c r="AG33" s="570">
        <v>1.395308</v>
      </c>
      <c r="AH33" s="570">
        <v>0.11113300000000001</v>
      </c>
      <c r="AI33" s="575">
        <v>68.7506</v>
      </c>
      <c r="AJ33" s="575">
        <v>1.2993</v>
      </c>
      <c r="AK33" s="575">
        <v>220.0066</v>
      </c>
      <c r="AL33" s="575">
        <v>17.29949</v>
      </c>
      <c r="AM33" s="575">
        <v>14.31134</v>
      </c>
      <c r="AN33" s="575">
        <v>15.0203</v>
      </c>
      <c r="AO33" s="609">
        <v>1.05383</v>
      </c>
      <c r="AP33" s="609">
        <v>1.3908</v>
      </c>
      <c r="AQ33" s="75" t="s">
        <v>652</v>
      </c>
      <c r="AR33" s="75" t="s">
        <v>653</v>
      </c>
      <c r="AS33" s="4"/>
      <c r="AT33" s="4"/>
      <c r="AU33" s="40"/>
      <c r="AV33" s="8" t="e">
        <f>AV56</f>
        <v>#NAME?</v>
      </c>
      <c r="AW33" s="8"/>
      <c r="AX33" s="75" t="s">
        <v>622</v>
      </c>
      <c r="AY33" s="570">
        <v>0.214669</v>
      </c>
      <c r="AZ33" s="609">
        <v>1.04534</v>
      </c>
      <c r="BA33" s="570">
        <v>0.004701</v>
      </c>
      <c r="BB33" s="570">
        <v>0.06270278611855058</v>
      </c>
      <c r="BC33" s="570">
        <v>0.101626</v>
      </c>
      <c r="BD33" s="570">
        <v>0.045176</v>
      </c>
      <c r="BE33" s="575">
        <v>48.453</v>
      </c>
      <c r="BF33" s="575">
        <v>4.87567</v>
      </c>
      <c r="BG33" s="575">
        <v>93.9979</v>
      </c>
      <c r="BH33" s="575">
        <v>9.22979</v>
      </c>
      <c r="BI33" s="575">
        <v>9.08725</v>
      </c>
      <c r="BJ33" s="575">
        <v>6.53769</v>
      </c>
      <c r="BK33" s="609">
        <v>0.58702</v>
      </c>
      <c r="BL33" s="609">
        <v>0.71686</v>
      </c>
      <c r="BM33" s="75" t="s">
        <v>654</v>
      </c>
      <c r="BN33" s="75" t="s">
        <v>653</v>
      </c>
    </row>
    <row r="34" ht="13.5" customHeight="1" spans="1:66" x14ac:dyDescent="0.25">
      <c r="A34" s="4"/>
      <c r="B34" s="4"/>
      <c r="C34" s="40"/>
      <c r="D34" s="8" t="s">
        <v>623</v>
      </c>
      <c r="E34" s="8"/>
      <c r="F34" s="75" t="s">
        <v>624</v>
      </c>
      <c r="G34" s="573">
        <v>0.24584399999999998</v>
      </c>
      <c r="H34" s="609">
        <v>0.94848</v>
      </c>
      <c r="I34" s="573">
        <v>0</v>
      </c>
      <c r="J34" s="573">
        <v>0.09391942397486261</v>
      </c>
      <c r="K34" s="573">
        <v>0.14643499999999998</v>
      </c>
      <c r="L34" s="573">
        <v>0.054886</v>
      </c>
      <c r="M34" s="575">
        <v>0.556364</v>
      </c>
      <c r="N34" s="575">
        <v>2.37743</v>
      </c>
      <c r="O34" s="575">
        <v>1.254102</v>
      </c>
      <c r="P34" s="575">
        <v>8.79233</v>
      </c>
      <c r="Q34" s="575">
        <v>5.99286</v>
      </c>
      <c r="R34" s="575">
        <v>4.34085</v>
      </c>
      <c r="S34" s="609">
        <v>1.78422</v>
      </c>
      <c r="T34" s="609">
        <v>2.20719</v>
      </c>
      <c r="U34" s="75" t="s">
        <v>661</v>
      </c>
      <c r="V34" s="75" t="s">
        <v>653</v>
      </c>
      <c r="W34" s="8"/>
      <c r="X34" s="4"/>
      <c r="Y34" s="40"/>
      <c r="Z34" s="8" t="e">
        <f>Z57</f>
        <v>#NAME?</v>
      </c>
      <c r="AA34" s="8"/>
      <c r="AB34" s="75" t="s">
        <v>625</v>
      </c>
      <c r="AC34" s="570">
        <v>0.144581</v>
      </c>
      <c r="AD34" s="609">
        <v>0.83876</v>
      </c>
      <c r="AE34" s="570">
        <v>0.017213</v>
      </c>
      <c r="AF34" s="570">
        <v>0.17260347844787285</v>
      </c>
      <c r="AG34" s="570">
        <v>0.435548</v>
      </c>
      <c r="AH34" s="570">
        <v>0.063013</v>
      </c>
      <c r="AI34" s="575">
        <v>61.0894</v>
      </c>
      <c r="AJ34" s="575">
        <v>2.79754</v>
      </c>
      <c r="AK34" s="575">
        <v>156.9997</v>
      </c>
      <c r="AL34" s="575">
        <v>10.0118</v>
      </c>
      <c r="AM34" s="575">
        <v>7.6172</v>
      </c>
      <c r="AN34" s="575">
        <v>7.13153</v>
      </c>
      <c r="AO34" s="609">
        <v>1.2881</v>
      </c>
      <c r="AP34" s="609">
        <v>1.60167</v>
      </c>
      <c r="AQ34" s="75" t="s">
        <v>654</v>
      </c>
      <c r="AR34" s="75" t="s">
        <v>653</v>
      </c>
      <c r="AS34" s="4"/>
      <c r="AT34" s="4"/>
      <c r="AU34" s="40"/>
      <c r="AV34" s="8" t="e">
        <f>AV57</f>
        <v>#NAME?</v>
      </c>
      <c r="AW34" s="8"/>
      <c r="AX34" s="75" t="s">
        <v>626</v>
      </c>
      <c r="AY34" s="570">
        <v>0.147751</v>
      </c>
      <c r="AZ34" s="609">
        <v>1.53469</v>
      </c>
      <c r="BA34" s="570">
        <v>0.01928</v>
      </c>
      <c r="BB34" s="570">
        <v>0.1875555315535677</v>
      </c>
      <c r="BC34" s="570">
        <v>0.276819</v>
      </c>
      <c r="BD34" s="570">
        <v>0.085174</v>
      </c>
      <c r="BE34" s="575">
        <v>48.6629</v>
      </c>
      <c r="BF34" s="575">
        <v>2.10102</v>
      </c>
      <c r="BG34" s="575">
        <v>94.791</v>
      </c>
      <c r="BH34" s="575">
        <v>21.77714</v>
      </c>
      <c r="BI34" s="575">
        <v>18.70286</v>
      </c>
      <c r="BJ34" s="575">
        <v>16.27429</v>
      </c>
      <c r="BK34" s="609">
        <v>1.13656</v>
      </c>
      <c r="BL34" s="609">
        <v>1.52221</v>
      </c>
      <c r="BM34" s="75" t="s">
        <v>660</v>
      </c>
      <c r="BN34" s="75" t="s">
        <v>653</v>
      </c>
    </row>
    <row r="35" ht="13.5" customHeight="1" spans="1:66" x14ac:dyDescent="0.25">
      <c r="A35" s="4"/>
      <c r="B35" s="4"/>
      <c r="C35" s="40"/>
      <c r="D35" s="8"/>
      <c r="E35" s="8"/>
      <c r="F35" s="75"/>
      <c r="G35" s="570"/>
      <c r="H35" s="75"/>
      <c r="I35" s="576"/>
      <c r="J35" s="576"/>
      <c r="K35" s="576"/>
      <c r="L35" s="576"/>
      <c r="M35" s="608"/>
      <c r="N35" s="75"/>
      <c r="O35" s="610"/>
      <c r="P35" s="575"/>
      <c r="Q35" s="575"/>
      <c r="R35" s="575"/>
      <c r="S35" s="75"/>
      <c r="T35" s="75"/>
      <c r="U35" s="75"/>
      <c r="V35" s="75"/>
      <c r="W35" s="8"/>
      <c r="X35" s="4"/>
      <c r="Y35" s="40"/>
      <c r="Z35" s="8"/>
      <c r="AA35" s="8"/>
      <c r="AB35" s="75"/>
      <c r="AC35" s="570"/>
      <c r="AD35" s="75"/>
      <c r="AE35" s="576"/>
      <c r="AF35" s="576"/>
      <c r="AG35" s="576"/>
      <c r="AH35" s="576"/>
      <c r="AI35" s="608"/>
      <c r="AJ35" s="75"/>
      <c r="AK35" s="610"/>
      <c r="AL35" s="575"/>
      <c r="AM35" s="575"/>
      <c r="AN35" s="575"/>
      <c r="AO35" s="75"/>
      <c r="AP35" s="75"/>
      <c r="AQ35" s="75"/>
      <c r="AR35" s="75"/>
      <c r="AS35" s="4"/>
      <c r="AT35" s="4"/>
      <c r="AU35" s="40"/>
      <c r="AV35" s="8"/>
      <c r="AW35" s="8"/>
      <c r="AX35" s="75"/>
      <c r="AY35" s="570"/>
      <c r="AZ35" s="75"/>
      <c r="BA35" s="576"/>
      <c r="BB35" s="576"/>
      <c r="BC35" s="576"/>
      <c r="BD35" s="576"/>
      <c r="BE35" s="608"/>
      <c r="BF35" s="75"/>
      <c r="BG35" s="610"/>
      <c r="BH35" s="575"/>
      <c r="BI35" s="575"/>
      <c r="BJ35" s="575"/>
      <c r="BK35" s="75"/>
      <c r="BL35" s="75"/>
      <c r="BM35" s="75"/>
      <c r="BN35" s="75"/>
    </row>
    <row r="36" ht="13.5" customHeight="1" spans="1:66" x14ac:dyDescent="0.25">
      <c r="A36" s="4"/>
      <c r="B36" s="4"/>
      <c r="C36" s="40"/>
      <c r="D36" s="578" t="s">
        <v>164</v>
      </c>
      <c r="E36" s="579"/>
      <c r="F36" s="580"/>
      <c r="G36" s="582">
        <f>MAX(G30:G34)</f>
        <v>0.356898</v>
      </c>
      <c r="H36" s="611">
        <v>0.94848</v>
      </c>
      <c r="I36" s="582">
        <v>0.014574</v>
      </c>
      <c r="J36" s="582">
        <f>MAX(J30:J34)</f>
        <v>0.11395136948343884</v>
      </c>
      <c r="K36" s="582">
        <f>MAX(K30:K34)</f>
        <v>0.296958</v>
      </c>
      <c r="L36" s="582">
        <v>0.065153</v>
      </c>
      <c r="M36" s="585">
        <v>0.696303</v>
      </c>
      <c r="N36" s="585">
        <v>5.06214</v>
      </c>
      <c r="O36" s="585">
        <v>2.292763</v>
      </c>
      <c r="P36" s="585">
        <v>8.79233</v>
      </c>
      <c r="Q36" s="585">
        <v>5.99286</v>
      </c>
      <c r="R36" s="585">
        <v>5.16667</v>
      </c>
      <c r="S36" s="611">
        <v>1.78422</v>
      </c>
      <c r="T36" s="611">
        <v>2.20719</v>
      </c>
      <c r="U36" s="580"/>
      <c r="V36" s="612"/>
      <c r="W36" s="8"/>
      <c r="X36" s="4"/>
      <c r="Y36" s="40"/>
      <c r="Z36" s="578" t="str">
        <f>Z18</f>
        <v>High</v>
      </c>
      <c r="AA36" s="579"/>
      <c r="AB36" s="580"/>
      <c r="AC36" s="587">
        <f t="shared" ref="AC36:AP36" si="8">MAX(AC28:AC34)</f>
        <v>0.246026</v>
      </c>
      <c r="AD36" s="611">
        <f t="shared" si="8"/>
        <v>1.62028</v>
      </c>
      <c r="AE36" s="587">
        <f t="shared" si="8"/>
        <v>0.028730000000000002</v>
      </c>
      <c r="AF36" s="587">
        <f t="shared" si="8"/>
        <v>0.47399097894209075</v>
      </c>
      <c r="AG36" s="587">
        <f t="shared" si="8"/>
        <v>3.353264</v>
      </c>
      <c r="AH36" s="587">
        <f t="shared" si="8"/>
        <v>0.153199</v>
      </c>
      <c r="AI36" s="585">
        <f t="shared" si="8"/>
        <v>138.5723</v>
      </c>
      <c r="AJ36" s="585">
        <f t="shared" si="8"/>
        <v>4.73816</v>
      </c>
      <c r="AK36" s="585">
        <f t="shared" si="8"/>
        <v>1824.0083</v>
      </c>
      <c r="AL36" s="585">
        <f t="shared" si="8"/>
        <v>17.29949</v>
      </c>
      <c r="AM36" s="585">
        <f t="shared" si="8"/>
        <v>14.31134</v>
      </c>
      <c r="AN36" s="585">
        <f t="shared" si="8"/>
        <v>15.0203</v>
      </c>
      <c r="AO36" s="611">
        <f t="shared" si="8"/>
        <v>1.2881</v>
      </c>
      <c r="AP36" s="611">
        <f t="shared" si="8"/>
        <v>1.60167</v>
      </c>
      <c r="AQ36" s="580"/>
      <c r="AR36" s="612"/>
      <c r="AS36" s="4"/>
      <c r="AT36" s="4"/>
      <c r="AU36" s="40"/>
      <c r="AV36" s="578" t="str">
        <f>AV18</f>
        <v>High</v>
      </c>
      <c r="AW36" s="579"/>
      <c r="AX36" s="580"/>
      <c r="AY36" s="587">
        <f t="shared" ref="AY36:BL36" si="9">MAX(AY28:AY34)</f>
        <v>0.246026</v>
      </c>
      <c r="AZ36" s="611">
        <f t="shared" si="9"/>
        <v>1.53469</v>
      </c>
      <c r="BA36" s="587">
        <f t="shared" si="9"/>
        <v>0.030351</v>
      </c>
      <c r="BB36" s="587">
        <f t="shared" si="9"/>
        <v>0.39441918935110964</v>
      </c>
      <c r="BC36" s="587">
        <f t="shared" si="9"/>
        <v>3.353264</v>
      </c>
      <c r="BD36" s="587">
        <f t="shared" si="9"/>
        <v>0.153199</v>
      </c>
      <c r="BE36" s="585">
        <f t="shared" si="9"/>
        <v>94.8025</v>
      </c>
      <c r="BF36" s="585">
        <f t="shared" si="9"/>
        <v>11.46958</v>
      </c>
      <c r="BG36" s="585">
        <f t="shared" si="9"/>
        <v>1824.0083</v>
      </c>
      <c r="BH36" s="585">
        <f t="shared" si="9"/>
        <v>22.0195</v>
      </c>
      <c r="BI36" s="585">
        <f t="shared" si="9"/>
        <v>19.49582</v>
      </c>
      <c r="BJ36" s="585">
        <f t="shared" si="9"/>
        <v>18.53482</v>
      </c>
      <c r="BK36" s="611">
        <f t="shared" si="9"/>
        <v>1.24245</v>
      </c>
      <c r="BL36" s="611">
        <f t="shared" si="9"/>
        <v>1.885</v>
      </c>
      <c r="BM36" s="580"/>
      <c r="BN36" s="612"/>
    </row>
    <row r="37" ht="13.5" customHeight="1" spans="1:66" x14ac:dyDescent="0.25">
      <c r="A37" s="4"/>
      <c r="B37" s="4"/>
      <c r="C37" s="40"/>
      <c r="D37" s="588" t="s">
        <v>627</v>
      </c>
      <c r="E37" s="463"/>
      <c r="F37" s="589"/>
      <c r="G37" s="591">
        <f>AVERAGE(G30:G34)</f>
        <v>0.24457299999999998</v>
      </c>
      <c r="H37" s="613">
        <v>0.6999340000000001</v>
      </c>
      <c r="I37" s="591">
        <v>0.0046926</v>
      </c>
      <c r="J37" s="591">
        <f>AVERAGE(J30:J34)</f>
        <v>0.06381739186270803</v>
      </c>
      <c r="K37" s="591">
        <f>AVERAGE(K30:K34)</f>
        <v>0.109016</v>
      </c>
      <c r="L37" s="591">
        <v>0.0395228</v>
      </c>
      <c r="M37" s="594">
        <v>0.5603118</v>
      </c>
      <c r="N37" s="594">
        <v>3.440238</v>
      </c>
      <c r="O37" s="594">
        <v>1.3716078</v>
      </c>
      <c r="P37" s="594">
        <v>6.79203</v>
      </c>
      <c r="Q37" s="594">
        <v>3.826216</v>
      </c>
      <c r="R37" s="594">
        <v>3.1593599999999995</v>
      </c>
      <c r="S37" s="613">
        <v>1.060328</v>
      </c>
      <c r="T37" s="613">
        <v>1.2565820000000003</v>
      </c>
      <c r="U37" s="589"/>
      <c r="V37" s="614"/>
      <c r="W37" s="8"/>
      <c r="X37" s="4"/>
      <c r="Y37" s="40"/>
      <c r="Z37" s="588" t="str">
        <f>Z19</f>
        <v>Mean</v>
      </c>
      <c r="AA37" s="463"/>
      <c r="AB37" s="589"/>
      <c r="AC37" s="596">
        <f t="shared" ref="AC37:AP37" si="10">AVERAGE(AC28:AC34)</f>
        <v>0.16273283333333333</v>
      </c>
      <c r="AD37" s="613">
        <f t="shared" si="10"/>
        <v>1.1378366666666666</v>
      </c>
      <c r="AE37" s="596">
        <f t="shared" si="10"/>
        <v>0.017900166666666665</v>
      </c>
      <c r="AF37" s="596">
        <f t="shared" si="10"/>
        <v>0.282891019565845</v>
      </c>
      <c r="AG37" s="596">
        <f t="shared" si="10"/>
        <v>0.9414248333333334</v>
      </c>
      <c r="AH37" s="596">
        <f t="shared" si="10"/>
        <v>0.0664525</v>
      </c>
      <c r="AI37" s="594">
        <f t="shared" si="10"/>
        <v>74.05641666666666</v>
      </c>
      <c r="AJ37" s="594">
        <f t="shared" si="10"/>
        <v>2.4642519999999997</v>
      </c>
      <c r="AK37" s="594">
        <f t="shared" si="10"/>
        <v>469.13713999999993</v>
      </c>
      <c r="AL37" s="594">
        <f t="shared" si="10"/>
        <v>11.704714</v>
      </c>
      <c r="AM37" s="594">
        <f t="shared" si="10"/>
        <v>9.343114</v>
      </c>
      <c r="AN37" s="594">
        <f t="shared" si="10"/>
        <v>8.835899999999999</v>
      </c>
      <c r="AO37" s="613">
        <f t="shared" si="10"/>
        <v>0.7941383333333333</v>
      </c>
      <c r="AP37" s="613">
        <f t="shared" si="10"/>
        <v>1.3143483333333335</v>
      </c>
      <c r="AQ37" s="589"/>
      <c r="AR37" s="614"/>
      <c r="AS37" s="4"/>
      <c r="AT37" s="4"/>
      <c r="AU37" s="40"/>
      <c r="AV37" s="588" t="str">
        <f>AV19</f>
        <v>Mean</v>
      </c>
      <c r="AW37" s="463"/>
      <c r="AX37" s="589"/>
      <c r="AY37" s="596">
        <f t="shared" ref="AY37:BL37" si="11">AVERAGE(AY28:AY34)</f>
        <v>0.1987185</v>
      </c>
      <c r="AZ37" s="613">
        <f t="shared" si="11"/>
        <v>1.1878633333333333</v>
      </c>
      <c r="BA37" s="596">
        <f t="shared" si="11"/>
        <v>0.014830500000000002</v>
      </c>
      <c r="BB37" s="596">
        <f t="shared" si="11"/>
        <v>0.21634205863305597</v>
      </c>
      <c r="BC37" s="596">
        <f t="shared" si="11"/>
        <v>0.7460788333333334</v>
      </c>
      <c r="BD37" s="596">
        <f t="shared" si="11"/>
        <v>0.0776135</v>
      </c>
      <c r="BE37" s="594">
        <f t="shared" si="11"/>
        <v>62.79613333333332</v>
      </c>
      <c r="BF37" s="594">
        <f t="shared" si="11"/>
        <v>4.239505</v>
      </c>
      <c r="BG37" s="594">
        <f t="shared" si="11"/>
        <v>417.7743</v>
      </c>
      <c r="BH37" s="594">
        <f t="shared" si="11"/>
        <v>15.218965000000003</v>
      </c>
      <c r="BI37" s="594">
        <f t="shared" si="11"/>
        <v>13.040391666666666</v>
      </c>
      <c r="BJ37" s="594">
        <f t="shared" si="11"/>
        <v>13.441250000000002</v>
      </c>
      <c r="BK37" s="613">
        <f t="shared" si="11"/>
        <v>0.9369216666666667</v>
      </c>
      <c r="BL37" s="613">
        <f t="shared" si="11"/>
        <v>1.3934300000000002</v>
      </c>
      <c r="BM37" s="589"/>
      <c r="BN37" s="614"/>
    </row>
    <row r="38" ht="13.5" customHeight="1" spans="1:66" x14ac:dyDescent="0.25">
      <c r="A38" s="4"/>
      <c r="B38" s="4"/>
      <c r="C38" s="40"/>
      <c r="D38" s="588" t="s">
        <v>628</v>
      </c>
      <c r="E38" s="463"/>
      <c r="F38" s="463"/>
      <c r="G38" s="591">
        <f>MEDIAN(G30:G34)</f>
        <v>0.219</v>
      </c>
      <c r="H38" s="613">
        <v>0.61823</v>
      </c>
      <c r="I38" s="591">
        <v>0.001446</v>
      </c>
      <c r="J38" s="591">
        <f>MEDIAN(J30:J34)</f>
        <v>0.060684863017977334</v>
      </c>
      <c r="K38" s="591">
        <f>MEDIAN(K30:K34)</f>
        <v>0.076069</v>
      </c>
      <c r="L38" s="591">
        <v>0.038881</v>
      </c>
      <c r="M38" s="594">
        <v>0.556364</v>
      </c>
      <c r="N38" s="594">
        <v>3.29607</v>
      </c>
      <c r="O38" s="594">
        <v>1.254102</v>
      </c>
      <c r="P38" s="594">
        <v>7.47576</v>
      </c>
      <c r="Q38" s="594">
        <v>4.2445</v>
      </c>
      <c r="R38" s="594">
        <v>3.75151</v>
      </c>
      <c r="S38" s="613">
        <v>0.77046</v>
      </c>
      <c r="T38" s="613">
        <v>0.88885</v>
      </c>
      <c r="U38" s="589"/>
      <c r="V38" s="614"/>
      <c r="W38" s="8"/>
      <c r="X38" s="4"/>
      <c r="Y38" s="40"/>
      <c r="Z38" s="588" t="str">
        <f>Z20</f>
        <v>Median</v>
      </c>
      <c r="AA38" s="463"/>
      <c r="AB38" s="463"/>
      <c r="AC38" s="596">
        <f t="shared" ref="AC38:AP38" si="12">MEDIAN(AC28:AC34)</f>
        <v>0.1426605</v>
      </c>
      <c r="AD38" s="613">
        <f t="shared" si="12"/>
        <v>1.030815</v>
      </c>
      <c r="AE38" s="596">
        <f t="shared" si="12"/>
        <v>0.0196215</v>
      </c>
      <c r="AF38" s="596">
        <f t="shared" si="12"/>
        <v>0.21877749021799892</v>
      </c>
      <c r="AG38" s="596">
        <f t="shared" si="12"/>
        <v>0.4175065</v>
      </c>
      <c r="AH38" s="596">
        <f t="shared" si="12"/>
        <v>0.06629850000000001</v>
      </c>
      <c r="AI38" s="594">
        <f t="shared" si="12"/>
        <v>64.92</v>
      </c>
      <c r="AJ38" s="594">
        <f t="shared" si="12"/>
        <v>1.9578</v>
      </c>
      <c r="AK38" s="594">
        <f t="shared" si="12"/>
        <v>156.9997</v>
      </c>
      <c r="AL38" s="594">
        <f t="shared" si="12"/>
        <v>10.78947</v>
      </c>
      <c r="AM38" s="594">
        <f t="shared" si="12"/>
        <v>7.69298</v>
      </c>
      <c r="AN38" s="594">
        <f t="shared" si="12"/>
        <v>7.77193</v>
      </c>
      <c r="AO38" s="613">
        <f t="shared" si="12"/>
        <v>0.868565</v>
      </c>
      <c r="AP38" s="613">
        <f t="shared" si="12"/>
        <v>1.3004</v>
      </c>
      <c r="AQ38" s="589"/>
      <c r="AR38" s="614"/>
      <c r="AS38" s="4"/>
      <c r="AT38" s="4"/>
      <c r="AU38" s="40"/>
      <c r="AV38" s="588" t="str">
        <f>AV20</f>
        <v>Median</v>
      </c>
      <c r="AW38" s="463"/>
      <c r="AX38" s="463"/>
      <c r="AY38" s="596">
        <f t="shared" ref="AY38:BL38" si="13">MEDIAN(AY28:AY34)</f>
        <v>0.19654</v>
      </c>
      <c r="AZ38" s="613">
        <f t="shared" si="13"/>
        <v>1.13117</v>
      </c>
      <c r="BA38" s="596">
        <f t="shared" si="13"/>
        <v>0.0158175</v>
      </c>
      <c r="BB38" s="596">
        <f t="shared" si="13"/>
        <v>0.21337290994802385</v>
      </c>
      <c r="BC38" s="596">
        <f t="shared" si="13"/>
        <v>0.276592</v>
      </c>
      <c r="BD38" s="596">
        <f t="shared" si="13"/>
        <v>0.07789650000000001</v>
      </c>
      <c r="BE38" s="594">
        <f t="shared" si="13"/>
        <v>58.53255</v>
      </c>
      <c r="BF38" s="594">
        <f t="shared" si="13"/>
        <v>2.518695</v>
      </c>
      <c r="BG38" s="594">
        <f t="shared" si="13"/>
        <v>141.67669999999998</v>
      </c>
      <c r="BH38" s="594">
        <f t="shared" si="13"/>
        <v>16.591540000000002</v>
      </c>
      <c r="BI38" s="594">
        <f t="shared" si="13"/>
        <v>14.145875</v>
      </c>
      <c r="BJ38" s="594">
        <f t="shared" si="13"/>
        <v>13.36862</v>
      </c>
      <c r="BK38" s="613">
        <f t="shared" si="13"/>
        <v>1.1473550000000001</v>
      </c>
      <c r="BL38" s="613">
        <f t="shared" si="13"/>
        <v>1.494945</v>
      </c>
      <c r="BM38" s="589"/>
      <c r="BN38" s="614"/>
    </row>
    <row r="39" ht="13.5" customHeight="1" spans="1:66" x14ac:dyDescent="0.25">
      <c r="A39" s="4"/>
      <c r="B39" s="4"/>
      <c r="C39" s="40" t="s">
        <v>3</v>
      </c>
      <c r="D39" s="597" t="s">
        <v>165</v>
      </c>
      <c r="E39" s="598"/>
      <c r="F39" s="598"/>
      <c r="G39" s="600">
        <f>MIN(G30:G34)</f>
        <v>0.191842</v>
      </c>
      <c r="H39" s="615">
        <v>0.55827</v>
      </c>
      <c r="I39" s="600">
        <v>0</v>
      </c>
      <c r="J39" s="600">
        <f>MIN(J30:J34)</f>
        <v>0.022531302837261326</v>
      </c>
      <c r="K39" s="600">
        <f>MIN(K30:K34)</f>
        <v>0.009847</v>
      </c>
      <c r="L39" s="600">
        <v>0.017881</v>
      </c>
      <c r="M39" s="603">
        <v>0.438444</v>
      </c>
      <c r="N39" s="603">
        <v>2.37743</v>
      </c>
      <c r="O39" s="603">
        <v>0.780766</v>
      </c>
      <c r="P39" s="603">
        <v>3.5</v>
      </c>
      <c r="Q39" s="603">
        <v>1.49631</v>
      </c>
      <c r="R39" s="603">
        <v>0.86681</v>
      </c>
      <c r="S39" s="615">
        <v>0.44273</v>
      </c>
      <c r="T39" s="615">
        <v>0.53817</v>
      </c>
      <c r="U39" s="616"/>
      <c r="V39" s="617"/>
      <c r="W39" s="8"/>
      <c r="X39" s="4"/>
      <c r="Y39" s="40" t="s">
        <v>3</v>
      </c>
      <c r="Z39" s="597" t="str">
        <f>Z21</f>
        <v>Low</v>
      </c>
      <c r="AA39" s="598"/>
      <c r="AB39" s="598"/>
      <c r="AC39" s="605">
        <f t="shared" ref="AC39:AP39" si="14">MIN(AC28:AC34)</f>
        <v>0.14074</v>
      </c>
      <c r="AD39" s="615">
        <f t="shared" si="14"/>
        <v>0.83876</v>
      </c>
      <c r="AE39" s="605">
        <f t="shared" si="14"/>
        <v>0</v>
      </c>
      <c r="AF39" s="605">
        <f t="shared" si="14"/>
        <v>0.17260347844787285</v>
      </c>
      <c r="AG39" s="605">
        <f t="shared" si="14"/>
        <v>0.032482000000000004</v>
      </c>
      <c r="AH39" s="605">
        <f t="shared" si="14"/>
        <v>-0.016131</v>
      </c>
      <c r="AI39" s="603">
        <f t="shared" si="14"/>
        <v>31.4015</v>
      </c>
      <c r="AJ39" s="603">
        <f t="shared" si="14"/>
        <v>1.2993</v>
      </c>
      <c r="AK39" s="603">
        <f t="shared" si="14"/>
        <v>45.7758</v>
      </c>
      <c r="AL39" s="603">
        <f t="shared" si="14"/>
        <v>5.0696</v>
      </c>
      <c r="AM39" s="603">
        <f t="shared" si="14"/>
        <v>3.79474</v>
      </c>
      <c r="AN39" s="603">
        <f t="shared" si="14"/>
        <v>1.76491</v>
      </c>
      <c r="AO39" s="615">
        <f t="shared" si="14"/>
        <v>0.27742</v>
      </c>
      <c r="AP39" s="615">
        <f t="shared" si="14"/>
        <v>1.09793</v>
      </c>
      <c r="AQ39" s="616"/>
      <c r="AR39" s="617"/>
      <c r="AS39" s="4"/>
      <c r="AT39" s="4"/>
      <c r="AU39" s="40" t="s">
        <v>3</v>
      </c>
      <c r="AV39" s="597" t="str">
        <f>AV21</f>
        <v>Low</v>
      </c>
      <c r="AW39" s="598"/>
      <c r="AX39" s="598"/>
      <c r="AY39" s="605">
        <f t="shared" ref="AY39:BL39" si="15">MIN(AY28:AY34)</f>
        <v>0.147751</v>
      </c>
      <c r="AZ39" s="615">
        <f t="shared" si="15"/>
        <v>0.95802</v>
      </c>
      <c r="BA39" s="605">
        <f t="shared" si="15"/>
        <v>0.0030159999999999996</v>
      </c>
      <c r="BB39" s="605">
        <f t="shared" si="15"/>
        <v>0.06270278611855058</v>
      </c>
      <c r="BC39" s="605">
        <f t="shared" si="15"/>
        <v>0.002275</v>
      </c>
      <c r="BD39" s="605">
        <f t="shared" si="15"/>
        <v>0.0022489999999999997</v>
      </c>
      <c r="BE39" s="603">
        <f t="shared" si="15"/>
        <v>48.453</v>
      </c>
      <c r="BF39" s="603">
        <f t="shared" si="15"/>
        <v>1.9578</v>
      </c>
      <c r="BG39" s="603">
        <f t="shared" si="15"/>
        <v>93.9979</v>
      </c>
      <c r="BH39" s="603">
        <f t="shared" si="15"/>
        <v>5.10428</v>
      </c>
      <c r="BI39" s="603">
        <f t="shared" si="15"/>
        <v>2.66467</v>
      </c>
      <c r="BJ39" s="603">
        <f t="shared" si="15"/>
        <v>6.53769</v>
      </c>
      <c r="BK39" s="615">
        <f t="shared" si="15"/>
        <v>0.27742</v>
      </c>
      <c r="BL39" s="615">
        <f t="shared" si="15"/>
        <v>0.71686</v>
      </c>
      <c r="BM39" s="616"/>
      <c r="BN39" s="617"/>
    </row>
    <row r="40" ht="13.5" customHeight="1" spans="1:66" x14ac:dyDescent="0.25">
      <c r="A40" s="4"/>
      <c r="B40" s="4"/>
      <c r="C40" s="40"/>
      <c r="D40" s="8"/>
      <c r="E40" s="8"/>
      <c r="F40" s="8"/>
      <c r="G40" s="8"/>
      <c r="H40" s="8"/>
      <c r="I40" s="8"/>
      <c r="J40" s="8"/>
      <c r="K40" s="8"/>
      <c r="L40" s="8"/>
      <c r="M40" s="8"/>
      <c r="N40" s="8"/>
      <c r="O40" s="8"/>
      <c r="P40" s="8"/>
      <c r="Q40" s="8"/>
      <c r="R40" s="8"/>
      <c r="S40" s="8"/>
      <c r="T40" s="8"/>
      <c r="U40" s="8"/>
      <c r="V40" s="8"/>
      <c r="W40" s="8"/>
      <c r="X40" s="4"/>
      <c r="Y40" s="40"/>
      <c r="Z40" s="8"/>
      <c r="AA40" s="8"/>
      <c r="AB40" s="8"/>
      <c r="AC40" s="8"/>
      <c r="AD40" s="8"/>
      <c r="AE40" s="8"/>
      <c r="AF40" s="8"/>
      <c r="AG40" s="8"/>
      <c r="AH40" s="8"/>
      <c r="AI40" s="8"/>
      <c r="AJ40" s="8"/>
      <c r="AK40" s="8"/>
      <c r="AL40" s="8"/>
      <c r="AM40" s="8"/>
      <c r="AN40" s="8"/>
      <c r="AO40" s="8"/>
      <c r="AP40" s="8"/>
      <c r="AQ40" s="8"/>
      <c r="AR40" s="8"/>
      <c r="AS40" s="4"/>
      <c r="AT40" s="4"/>
      <c r="AU40" s="40"/>
      <c r="AV40" s="8"/>
      <c r="AW40" s="8"/>
      <c r="AX40" s="8"/>
      <c r="AY40" s="8"/>
      <c r="AZ40" s="8"/>
      <c r="BA40" s="8"/>
      <c r="BB40" s="8"/>
      <c r="BC40" s="8"/>
      <c r="BD40" s="8"/>
      <c r="BE40" s="8"/>
      <c r="BF40" s="8"/>
      <c r="BG40" s="8"/>
      <c r="BH40" s="8"/>
      <c r="BI40" s="8"/>
      <c r="BJ40" s="8"/>
      <c r="BK40" s="8"/>
      <c r="BL40" s="8"/>
      <c r="BM40" s="8"/>
      <c r="BN40" s="8"/>
    </row>
    <row r="41" ht="13.5" customHeight="1" spans="1:66" x14ac:dyDescent="0.25">
      <c r="A41" s="4"/>
      <c r="B41" s="4"/>
      <c r="C41" s="40"/>
      <c r="D41" s="8"/>
      <c r="E41" s="8"/>
      <c r="F41" s="8"/>
      <c r="G41" s="8"/>
      <c r="H41" s="8"/>
      <c r="I41" s="8"/>
      <c r="J41" s="8"/>
      <c r="K41" s="8"/>
      <c r="L41" s="8"/>
      <c r="M41" s="8"/>
      <c r="N41" s="8"/>
      <c r="O41" s="8"/>
      <c r="P41" s="8"/>
      <c r="Q41" s="8"/>
      <c r="R41" s="8"/>
      <c r="S41" s="8"/>
      <c r="T41" s="8"/>
      <c r="U41" s="8"/>
      <c r="V41" s="8"/>
      <c r="W41" s="8"/>
      <c r="X41" s="4"/>
      <c r="Y41" s="40"/>
      <c r="Z41" s="8"/>
      <c r="AA41" s="8"/>
      <c r="AB41" s="8"/>
      <c r="AC41" s="8"/>
      <c r="AD41" s="8"/>
      <c r="AE41" s="8"/>
      <c r="AF41" s="8"/>
      <c r="AG41" s="8"/>
      <c r="AH41" s="8"/>
      <c r="AI41" s="8"/>
      <c r="AJ41" s="8"/>
      <c r="AK41" s="8"/>
      <c r="AL41" s="8"/>
      <c r="AM41" s="8"/>
      <c r="AN41" s="8"/>
      <c r="AO41" s="8"/>
      <c r="AP41" s="8"/>
      <c r="AQ41" s="8"/>
      <c r="AR41" s="8"/>
      <c r="AS41" s="4"/>
      <c r="AT41" s="4"/>
      <c r="AU41" s="40"/>
      <c r="AV41" s="8"/>
      <c r="AW41" s="8"/>
      <c r="AX41" s="8"/>
      <c r="AY41" s="8"/>
      <c r="AZ41" s="8"/>
      <c r="BA41" s="8"/>
      <c r="BB41" s="8"/>
      <c r="BC41" s="8"/>
      <c r="BD41" s="8"/>
      <c r="BE41" s="8"/>
      <c r="BF41" s="8"/>
      <c r="BG41" s="8"/>
      <c r="BH41" s="8"/>
      <c r="BI41" s="8"/>
      <c r="BJ41" s="8"/>
      <c r="BK41" s="8"/>
      <c r="BL41" s="8"/>
      <c r="BM41" s="8"/>
      <c r="BN41" s="8"/>
    </row>
    <row r="42" ht="13.5" customHeight="1" spans="1:66" x14ac:dyDescent="0.25">
      <c r="A42" s="4"/>
      <c r="B42" s="4"/>
      <c r="C42" s="40"/>
      <c r="D42" s="618"/>
      <c r="E42" s="618"/>
      <c r="F42" s="618"/>
      <c r="G42" s="619"/>
      <c r="H42" s="620"/>
      <c r="I42" s="619"/>
      <c r="J42" s="619"/>
      <c r="K42" s="619"/>
      <c r="L42" s="619"/>
      <c r="M42" s="619"/>
      <c r="N42" s="621"/>
      <c r="O42" s="619"/>
      <c r="P42" s="621"/>
      <c r="Q42" s="622"/>
      <c r="R42" s="621"/>
      <c r="S42" s="618"/>
      <c r="T42" s="619"/>
      <c r="U42" s="620"/>
      <c r="V42" s="620"/>
      <c r="W42" s="618"/>
      <c r="X42" s="4"/>
      <c r="Y42" s="40"/>
      <c r="Z42" s="618"/>
      <c r="AA42" s="618"/>
      <c r="AB42" s="618"/>
      <c r="AC42" s="619"/>
      <c r="AD42" s="620"/>
      <c r="AE42" s="619"/>
      <c r="AF42" s="619"/>
      <c r="AG42" s="619"/>
      <c r="AH42" s="619"/>
      <c r="AI42" s="619"/>
      <c r="AJ42" s="621"/>
      <c r="AK42" s="619"/>
      <c r="AL42" s="621"/>
      <c r="AM42" s="622"/>
      <c r="AN42" s="621"/>
      <c r="AO42" s="618"/>
      <c r="AP42" s="619"/>
      <c r="AQ42" s="620"/>
      <c r="AR42" s="620"/>
      <c r="AS42" s="4"/>
      <c r="AT42" s="4"/>
      <c r="AU42" s="40"/>
      <c r="AV42" s="618"/>
      <c r="AW42" s="618"/>
      <c r="AX42" s="618"/>
      <c r="AY42" s="619"/>
      <c r="AZ42" s="620"/>
      <c r="BA42" s="619"/>
      <c r="BB42" s="619"/>
      <c r="BC42" s="619"/>
      <c r="BD42" s="619"/>
      <c r="BE42" s="619"/>
      <c r="BF42" s="621"/>
      <c r="BG42" s="619"/>
      <c r="BH42" s="621"/>
      <c r="BI42" s="622"/>
      <c r="BJ42" s="621"/>
      <c r="BK42" s="618"/>
      <c r="BL42" s="619"/>
      <c r="BM42" s="620"/>
      <c r="BN42" s="620"/>
    </row>
    <row r="43" ht="13.5" customHeight="1" hidden="1" spans="1:66" x14ac:dyDescent="0.25" outlineLevel="1" collapsed="1">
      <c r="A43" s="4"/>
      <c r="B43" s="4"/>
      <c r="C43" s="40" t="s">
        <v>662</v>
      </c>
      <c r="D43" s="8"/>
      <c r="E43" s="8"/>
      <c r="F43" s="8"/>
      <c r="G43" s="623"/>
      <c r="H43" s="75"/>
      <c r="I43" s="623"/>
      <c r="J43" s="623"/>
      <c r="K43" s="623"/>
      <c r="L43" s="623"/>
      <c r="M43" s="623"/>
      <c r="N43" s="575"/>
      <c r="O43" s="623"/>
      <c r="P43" s="575"/>
      <c r="Q43" s="571"/>
      <c r="R43" s="575"/>
      <c r="S43" s="8"/>
      <c r="T43" s="623"/>
      <c r="U43" s="75"/>
      <c r="V43" s="75"/>
      <c r="W43" s="8"/>
      <c r="X43" s="4"/>
      <c r="Y43" s="40" t="s">
        <v>662</v>
      </c>
      <c r="Z43" s="8"/>
      <c r="AA43" s="8"/>
      <c r="AB43" s="8"/>
      <c r="AC43" s="623"/>
      <c r="AD43" s="75"/>
      <c r="AE43" s="623"/>
      <c r="AF43" s="623"/>
      <c r="AG43" s="623"/>
      <c r="AH43" s="623"/>
      <c r="AI43" s="623"/>
      <c r="AJ43" s="575"/>
      <c r="AK43" s="623"/>
      <c r="AL43" s="575"/>
      <c r="AM43" s="571"/>
      <c r="AN43" s="575"/>
      <c r="AO43" s="8"/>
      <c r="AP43" s="623"/>
      <c r="AQ43" s="75"/>
      <c r="AR43" s="75"/>
      <c r="AS43" s="4"/>
      <c r="AT43" s="4"/>
      <c r="AU43" s="40" t="s">
        <v>662</v>
      </c>
      <c r="AV43" s="8"/>
      <c r="AW43" s="8"/>
      <c r="AX43" s="8"/>
      <c r="AY43" s="623"/>
      <c r="AZ43" s="75"/>
      <c r="BA43" s="623"/>
      <c r="BB43" s="623"/>
      <c r="BC43" s="623"/>
      <c r="BD43" s="623"/>
      <c r="BE43" s="623"/>
      <c r="BF43" s="575"/>
      <c r="BG43" s="623"/>
      <c r="BH43" s="575"/>
      <c r="BI43" s="571"/>
      <c r="BJ43" s="575"/>
      <c r="BK43" s="8"/>
      <c r="BL43" s="623"/>
      <c r="BM43" s="75"/>
      <c r="BN43" s="75"/>
    </row>
    <row r="44" ht="13.5" customHeight="1" hidden="1" spans="1:66" x14ac:dyDescent="0.25" outlineLevel="1" collapsed="1">
      <c r="A44" s="4"/>
      <c r="B44" s="40"/>
      <c r="C44" s="40"/>
      <c r="D44" s="624" t="s">
        <v>663</v>
      </c>
      <c r="E44" s="625"/>
      <c r="F44" s="8"/>
      <c r="G44" s="623"/>
      <c r="H44" s="75"/>
      <c r="I44" s="623"/>
      <c r="J44" s="623"/>
      <c r="K44" s="623"/>
      <c r="M44" s="623"/>
      <c r="N44" s="575"/>
      <c r="O44" s="623"/>
      <c r="P44" s="575"/>
      <c r="Q44" s="571"/>
      <c r="R44" s="575"/>
      <c r="S44" s="8"/>
      <c r="T44" s="623"/>
      <c r="U44" s="75"/>
      <c r="V44" s="75"/>
      <c r="W44" s="8"/>
      <c r="X44" s="4"/>
      <c r="Y44" s="40"/>
      <c r="AB44" s="8"/>
      <c r="AC44" s="623"/>
      <c r="AD44" s="75"/>
      <c r="AE44" s="623"/>
      <c r="AF44" s="623"/>
      <c r="AG44" s="623"/>
      <c r="AH44" s="623"/>
      <c r="AI44" s="623"/>
      <c r="AJ44" s="575"/>
      <c r="AK44" s="623"/>
      <c r="AL44" s="575"/>
      <c r="AM44" s="571"/>
      <c r="AN44" s="575"/>
      <c r="AO44" s="8"/>
      <c r="AP44" s="623"/>
      <c r="AQ44" s="75"/>
      <c r="AR44" s="75"/>
      <c r="AS44" s="4"/>
      <c r="AT44" s="4"/>
      <c r="AU44" s="40"/>
      <c r="AX44" s="8"/>
      <c r="AY44" s="623"/>
      <c r="AZ44" s="75"/>
      <c r="BA44" s="623"/>
      <c r="BB44" s="623"/>
      <c r="BC44" s="623"/>
      <c r="BD44" s="623"/>
      <c r="BE44" s="623"/>
      <c r="BF44" s="575"/>
      <c r="BG44" s="623"/>
      <c r="BH44" s="575"/>
      <c r="BI44" s="571"/>
      <c r="BJ44" s="575"/>
      <c r="BK44" s="8"/>
      <c r="BL44" s="623"/>
      <c r="BM44" s="75"/>
      <c r="BN44" s="75"/>
    </row>
    <row r="45" ht="13.5" customHeight="1" hidden="1" spans="1:66" x14ac:dyDescent="0.25" outlineLevel="1" collapsed="1">
      <c r="A45" s="4"/>
      <c r="D45" s="626"/>
      <c r="E45" s="626"/>
      <c r="F45" s="40"/>
      <c r="G45" s="191"/>
      <c r="H45" s="191"/>
      <c r="I45" s="191"/>
      <c r="J45" s="191"/>
      <c r="K45" s="191"/>
      <c r="M45" s="191"/>
      <c r="N45" s="191"/>
      <c r="O45" s="191"/>
      <c r="P45" s="191"/>
      <c r="Q45" s="191"/>
      <c r="R45" s="191"/>
      <c r="S45" s="40"/>
      <c r="T45" s="191"/>
      <c r="U45" s="191"/>
      <c r="V45" s="191"/>
      <c r="W45" s="8"/>
      <c r="X45" s="4"/>
      <c r="Y45" s="40"/>
      <c r="Z45" s="626"/>
      <c r="AA45" s="626"/>
      <c r="AB45" s="40"/>
      <c r="AC45" s="191"/>
      <c r="AD45" s="191"/>
      <c r="AE45" s="191"/>
      <c r="AF45" s="191"/>
      <c r="AG45" s="191"/>
      <c r="AH45" s="191"/>
      <c r="AI45" s="191"/>
      <c r="AJ45" s="191"/>
      <c r="AK45" s="191"/>
      <c r="AL45" s="191"/>
      <c r="AM45" s="191"/>
      <c r="AN45" s="191"/>
      <c r="AO45" s="40"/>
      <c r="AP45" s="191"/>
      <c r="AQ45" s="191"/>
      <c r="AR45" s="191"/>
      <c r="AS45" s="4"/>
      <c r="AT45" s="4"/>
      <c r="AU45" s="40"/>
      <c r="AV45" s="626"/>
      <c r="AW45" s="626"/>
      <c r="AX45" s="40"/>
      <c r="AY45" s="191"/>
      <c r="AZ45" s="191"/>
      <c r="BA45" s="191"/>
      <c r="BB45" s="191"/>
      <c r="BC45" s="191"/>
      <c r="BD45" s="191"/>
      <c r="BE45" s="191"/>
      <c r="BF45" s="191"/>
      <c r="BG45" s="191"/>
      <c r="BH45" s="191"/>
      <c r="BI45" s="191"/>
      <c r="BJ45" s="191"/>
      <c r="BK45" s="40"/>
      <c r="BL45" s="191"/>
      <c r="BM45" s="191"/>
      <c r="BN45" s="191"/>
    </row>
    <row r="46" ht="13.5" customHeight="1" hidden="1" spans="1:66" x14ac:dyDescent="0.25" outlineLevel="1" collapsed="1">
      <c r="A46" s="4"/>
      <c r="D46" s="561" t="str">
        <f>D4</f>
        <v>Primary Peer Group</v>
      </c>
      <c r="E46" s="57"/>
      <c r="F46" s="57"/>
      <c r="G46" s="57"/>
      <c r="H46" s="57"/>
      <c r="I46" s="57"/>
      <c r="J46" s="57"/>
      <c r="K46" s="57"/>
      <c r="L46" s="57"/>
      <c r="M46" s="57"/>
      <c r="N46" s="57"/>
      <c r="O46" s="57"/>
      <c r="P46" s="57"/>
      <c r="Q46" s="57"/>
      <c r="R46" s="57"/>
      <c r="S46" s="57"/>
      <c r="T46" s="57"/>
      <c r="U46" s="57"/>
      <c r="V46" s="57"/>
      <c r="W46" s="8"/>
      <c r="X46" s="4"/>
      <c r="Y46" s="40"/>
      <c r="Z46" s="561" t="str">
        <f>Z4</f>
        <v>N/A</v>
      </c>
      <c r="AA46" s="57"/>
      <c r="AB46" s="57"/>
      <c r="AC46" s="57"/>
      <c r="AD46" s="57"/>
      <c r="AE46" s="57"/>
      <c r="AF46" s="57"/>
      <c r="AG46" s="57"/>
      <c r="AH46" s="57"/>
      <c r="AI46" s="57"/>
      <c r="AJ46" s="57"/>
      <c r="AK46" s="57"/>
      <c r="AL46" s="57"/>
      <c r="AM46" s="57"/>
      <c r="AN46" s="57"/>
      <c r="AO46" s="57"/>
      <c r="AP46" s="57"/>
      <c r="AQ46" s="57"/>
      <c r="AR46" s="57"/>
      <c r="AS46" s="4"/>
      <c r="AT46" s="4"/>
      <c r="AU46" s="40"/>
      <c r="AV46" s="561" t="str">
        <f>AV4</f>
        <v>N/A</v>
      </c>
      <c r="AW46" s="57"/>
      <c r="AX46" s="57"/>
      <c r="AY46" s="57"/>
      <c r="AZ46" s="57"/>
      <c r="BA46" s="57"/>
      <c r="BB46" s="57"/>
      <c r="BC46" s="57"/>
      <c r="BD46" s="57"/>
      <c r="BE46" s="57"/>
      <c r="BF46" s="57"/>
      <c r="BG46" s="57"/>
      <c r="BH46" s="57"/>
      <c r="BI46" s="57"/>
      <c r="BJ46" s="57"/>
      <c r="BK46" s="57"/>
      <c r="BL46" s="57"/>
      <c r="BM46" s="57"/>
      <c r="BN46" s="57"/>
    </row>
    <row r="47" ht="13.5" customHeight="1" hidden="1" spans="1:66" x14ac:dyDescent="0.25" outlineLevel="1" collapsed="1">
      <c r="A47" s="4"/>
      <c r="D47" s="75"/>
      <c r="E47" s="75"/>
      <c r="F47" s="8"/>
      <c r="G47" s="8"/>
      <c r="H47" s="8"/>
      <c r="I47" s="8"/>
      <c r="J47" s="8"/>
      <c r="K47" s="8"/>
      <c r="L47" s="8"/>
      <c r="M47" s="8"/>
      <c r="N47" s="8"/>
      <c r="O47" s="8"/>
      <c r="P47" s="8"/>
      <c r="Q47" s="561" t="str">
        <f>Q6</f>
        <v>Enterprise Value / </v>
      </c>
      <c r="R47" s="57"/>
      <c r="S47" s="57"/>
      <c r="T47" s="191">
        <f>T6</f>
        <v>0</v>
      </c>
      <c r="U47" s="8"/>
      <c r="V47" s="8"/>
      <c r="W47" s="8"/>
      <c r="X47" s="4"/>
      <c r="Y47" s="40"/>
      <c r="Z47" s="75"/>
      <c r="AA47" s="75"/>
      <c r="AB47" s="8"/>
      <c r="AC47" s="8"/>
      <c r="AD47" s="8"/>
      <c r="AE47" s="8"/>
      <c r="AF47" s="8"/>
      <c r="AG47" s="8"/>
      <c r="AH47" s="8"/>
      <c r="AI47" s="8"/>
      <c r="AJ47" s="8"/>
      <c r="AK47" s="8"/>
      <c r="AL47" s="8"/>
      <c r="AM47" s="561" t="str">
        <f>AM6</f>
        <v>Enterprise Value / </v>
      </c>
      <c r="AN47" s="57"/>
      <c r="AO47" s="57"/>
      <c r="AP47" s="191">
        <f>AP6</f>
        <v>0</v>
      </c>
      <c r="AQ47" s="8"/>
      <c r="AR47" s="8"/>
      <c r="AS47" s="4"/>
      <c r="AT47" s="4"/>
      <c r="AU47" s="40"/>
      <c r="AV47" s="75"/>
      <c r="AW47" s="75"/>
      <c r="AX47" s="8"/>
      <c r="AY47" s="8"/>
      <c r="AZ47" s="8"/>
      <c r="BA47" s="8"/>
      <c r="BB47" s="8"/>
      <c r="BC47" s="8"/>
      <c r="BD47" s="8"/>
      <c r="BE47" s="8"/>
      <c r="BF47" s="8"/>
      <c r="BG47" s="8"/>
      <c r="BH47" s="8"/>
      <c r="BI47" s="561" t="str">
        <f>BI6</f>
        <v>Enterprise Value / </v>
      </c>
      <c r="BJ47" s="57"/>
      <c r="BK47" s="57"/>
      <c r="BL47" s="191">
        <f>BL6</f>
        <v>0</v>
      </c>
      <c r="BM47" s="8"/>
      <c r="BN47" s="8"/>
    </row>
    <row r="48" ht="13.5" customHeight="1" hidden="1" spans="1:66" x14ac:dyDescent="0.25" outlineLevel="1" collapsed="1">
      <c r="A48" s="4"/>
      <c r="D48" s="75"/>
      <c r="E48" s="75"/>
      <c r="F48" s="75"/>
      <c r="G48" s="75" t="str">
        <f>G7</f>
        <v>Market </v>
      </c>
      <c r="H48" s="75" t="str">
        <f>H7</f>
        <v>Enterprise</v>
      </c>
      <c r="I48" s="561" t="str">
        <f>I7</f>
        <v>Sales</v>
      </c>
      <c r="J48" s="57"/>
      <c r="K48" s="561" t="str">
        <f>K7</f>
        <v>EPS</v>
      </c>
      <c r="L48" s="57"/>
      <c r="M48" s="561">
        <f>M7</f>
        <v>0</v>
      </c>
      <c r="N48" s="57"/>
      <c r="O48" s="561" t="str">
        <f>O7</f>
        <v>Profit Margin</v>
      </c>
      <c r="P48" s="57"/>
      <c r="Q48" s="561" t="str">
        <f>Q7</f>
        <v>EBITDA</v>
      </c>
      <c r="R48" s="57"/>
      <c r="S48" s="561" t="str">
        <f>S7</f>
        <v>Sales</v>
      </c>
      <c r="T48" s="57"/>
      <c r="U48" s="561" t="str">
        <f>U7</f>
        <v>Price / Earnings</v>
      </c>
      <c r="V48" s="57"/>
      <c r="W48" s="8"/>
      <c r="X48" s="4"/>
      <c r="Y48" s="40"/>
      <c r="Z48" s="75"/>
      <c r="AA48" s="75"/>
      <c r="AB48" s="75"/>
      <c r="AC48" s="75" t="str">
        <f>AC7</f>
        <v>Market </v>
      </c>
      <c r="AD48" s="75" t="str">
        <f>AD7</f>
        <v>Enterprise</v>
      </c>
      <c r="AE48" s="561" t="str">
        <f>AE7</f>
        <v>Sales</v>
      </c>
      <c r="AF48" s="57"/>
      <c r="AG48" s="561" t="str">
        <f>AG7</f>
        <v>EPS</v>
      </c>
      <c r="AH48" s="57"/>
      <c r="AI48" s="561" t="str">
        <f>AI7</f>
        <v>EBITDA Margin</v>
      </c>
      <c r="AJ48" s="57"/>
      <c r="AK48" s="561" t="str">
        <f>AK7</f>
        <v>Profit Margin</v>
      </c>
      <c r="AL48" s="57"/>
      <c r="AM48" s="561" t="str">
        <f>AM7</f>
        <v>EBITDA</v>
      </c>
      <c r="AN48" s="57"/>
      <c r="AO48" s="561" t="str">
        <f>AO7</f>
        <v>Sales</v>
      </c>
      <c r="AP48" s="57"/>
      <c r="AQ48" s="561" t="str">
        <f>AQ7</f>
        <v>Price / Earnings</v>
      </c>
      <c r="AR48" s="57"/>
      <c r="AS48" s="4"/>
      <c r="AT48" s="4"/>
      <c r="AU48" s="40"/>
      <c r="AV48" s="75"/>
      <c r="AW48" s="75"/>
      <c r="AX48" s="75"/>
      <c r="AY48" s="75" t="str">
        <f>AY7</f>
        <v>Market </v>
      </c>
      <c r="AZ48" s="75" t="str">
        <f>AZ7</f>
        <v>Enterprise</v>
      </c>
      <c r="BA48" s="561" t="str">
        <f>BA7</f>
        <v>Sales</v>
      </c>
      <c r="BB48" s="57"/>
      <c r="BC48" s="561" t="str">
        <f>BC7</f>
        <v>EPS</v>
      </c>
      <c r="BD48" s="57"/>
      <c r="BE48" s="561" t="str">
        <f>BE7</f>
        <v>EBITDA Margin</v>
      </c>
      <c r="BF48" s="57"/>
      <c r="BG48" s="561" t="str">
        <f>BG7</f>
        <v>Profit Margin</v>
      </c>
      <c r="BH48" s="57"/>
      <c r="BI48" s="561" t="str">
        <f>BI7</f>
        <v>EBITDA</v>
      </c>
      <c r="BJ48" s="57"/>
      <c r="BK48" s="561" t="str">
        <f>BK7</f>
        <v>Sales</v>
      </c>
      <c r="BL48" s="57"/>
      <c r="BM48" s="561" t="str">
        <f>BM7</f>
        <v>Price / Earnings</v>
      </c>
      <c r="BN48" s="57"/>
    </row>
    <row r="49" ht="13.5" customHeight="1" hidden="1" spans="1:66" x14ac:dyDescent="0.25" outlineLevel="1" collapsed="1">
      <c r="A49" s="4"/>
      <c r="B49" s="40"/>
      <c r="C49" s="40"/>
      <c r="D49" s="130"/>
      <c r="E49" s="75"/>
      <c r="F49" s="561" t="str">
        <f t="shared" ref="F49:V49" si="16">F8</f>
        <v>Ticker</v>
      </c>
      <c r="G49" s="561" t="str">
        <f t="shared" si="16"/>
        <v>Cap</v>
      </c>
      <c r="H49" s="561" t="str">
        <f t="shared" si="16"/>
        <v>Value</v>
      </c>
      <c r="I49" s="561" t="str">
        <f t="shared" si="16"/>
        <v>LTM</v>
      </c>
      <c r="J49" s="562">
        <f t="shared" si="16"/>
        <v>46071</v>
      </c>
      <c r="K49" s="561" t="str">
        <f t="shared" si="16"/>
        <v>LTM</v>
      </c>
      <c r="L49" s="562">
        <f t="shared" si="16"/>
        <v>46071</v>
      </c>
      <c r="M49" s="561" t="str">
        <f t="shared" si="16"/>
        <v>LTM</v>
      </c>
      <c r="N49" s="562">
        <f t="shared" si="16"/>
        <v>46071</v>
      </c>
      <c r="O49" s="561" t="str">
        <f t="shared" si="16"/>
        <v>LTM</v>
      </c>
      <c r="P49" s="562">
        <f t="shared" si="16"/>
        <v>46071</v>
      </c>
      <c r="Q49" s="561" t="str">
        <f t="shared" si="16"/>
        <v>LTM</v>
      </c>
      <c r="R49" s="562">
        <f t="shared" si="16"/>
        <v>46071</v>
      </c>
      <c r="S49" s="561" t="str">
        <f t="shared" si="16"/>
        <v>LTM</v>
      </c>
      <c r="T49" s="562">
        <f t="shared" si="16"/>
        <v>46071</v>
      </c>
      <c r="U49" s="561" t="str">
        <f t="shared" si="16"/>
        <v>LTM</v>
      </c>
      <c r="V49" s="562">
        <f t="shared" si="16"/>
        <v>46071</v>
      </c>
      <c r="W49" s="8"/>
      <c r="X49" s="4"/>
      <c r="Y49" s="40"/>
      <c r="Z49" s="130"/>
      <c r="AA49" s="75"/>
      <c r="AB49" s="561" t="str">
        <f t="shared" ref="AB49:AR49" si="17">AB8</f>
        <v>Ticker</v>
      </c>
      <c r="AC49" s="561" t="str">
        <f t="shared" si="17"/>
        <v>Cap</v>
      </c>
      <c r="AD49" s="561" t="str">
        <f t="shared" si="17"/>
        <v>Value</v>
      </c>
      <c r="AE49" s="561" t="str">
        <f t="shared" si="17"/>
        <v>LTM</v>
      </c>
      <c r="AF49" s="562">
        <f t="shared" si="17"/>
        <v>46071</v>
      </c>
      <c r="AG49" s="561" t="str">
        <f t="shared" si="17"/>
        <v>LTM</v>
      </c>
      <c r="AH49" s="562">
        <f t="shared" si="17"/>
        <v>46071</v>
      </c>
      <c r="AI49" s="561" t="str">
        <f t="shared" si="17"/>
        <v>LTM</v>
      </c>
      <c r="AJ49" s="562">
        <f t="shared" si="17"/>
        <v>46071</v>
      </c>
      <c r="AK49" s="561" t="str">
        <f t="shared" si="17"/>
        <v>LTM</v>
      </c>
      <c r="AL49" s="562">
        <f t="shared" si="17"/>
        <v>46071</v>
      </c>
      <c r="AM49" s="561" t="str">
        <f t="shared" si="17"/>
        <v>LTM</v>
      </c>
      <c r="AN49" s="562">
        <f t="shared" si="17"/>
        <v>46071</v>
      </c>
      <c r="AO49" s="561" t="str">
        <f t="shared" si="17"/>
        <v>LTM</v>
      </c>
      <c r="AP49" s="562">
        <f t="shared" si="17"/>
        <v>46071</v>
      </c>
      <c r="AQ49" s="561" t="str">
        <f t="shared" si="17"/>
        <v>LTM</v>
      </c>
      <c r="AR49" s="562">
        <f t="shared" si="17"/>
        <v>46071</v>
      </c>
      <c r="AS49" s="4"/>
      <c r="AT49" s="4"/>
      <c r="AU49" s="40"/>
      <c r="AV49" s="130"/>
      <c r="AW49" s="75"/>
      <c r="AX49" s="561" t="str">
        <f t="shared" ref="AX49:BN49" si="18">AX8</f>
        <v>Ticker</v>
      </c>
      <c r="AY49" s="561" t="str">
        <f t="shared" si="18"/>
        <v>Cap</v>
      </c>
      <c r="AZ49" s="561" t="str">
        <f t="shared" si="18"/>
        <v>Value</v>
      </c>
      <c r="BA49" s="561" t="str">
        <f t="shared" si="18"/>
        <v>LTM</v>
      </c>
      <c r="BB49" s="562">
        <f t="shared" si="18"/>
        <v>46071</v>
      </c>
      <c r="BC49" s="561" t="str">
        <f t="shared" si="18"/>
        <v>LTM</v>
      </c>
      <c r="BD49" s="562">
        <f t="shared" si="18"/>
        <v>46071</v>
      </c>
      <c r="BE49" s="561" t="str">
        <f t="shared" si="18"/>
        <v>LTM</v>
      </c>
      <c r="BF49" s="562">
        <f t="shared" si="18"/>
        <v>46071</v>
      </c>
      <c r="BG49" s="561" t="str">
        <f t="shared" si="18"/>
        <v>LTM</v>
      </c>
      <c r="BH49" s="562">
        <f t="shared" si="18"/>
        <v>46071</v>
      </c>
      <c r="BI49" s="561" t="str">
        <f t="shared" si="18"/>
        <v>LTM</v>
      </c>
      <c r="BJ49" s="562">
        <f t="shared" si="18"/>
        <v>46071</v>
      </c>
      <c r="BK49" s="561" t="str">
        <f t="shared" si="18"/>
        <v>LTM</v>
      </c>
      <c r="BL49" s="562">
        <f t="shared" si="18"/>
        <v>46071</v>
      </c>
      <c r="BM49" s="561" t="str">
        <f t="shared" si="18"/>
        <v>LTM</v>
      </c>
      <c r="BN49" s="562">
        <f t="shared" si="18"/>
        <v>46071</v>
      </c>
    </row>
    <row r="50" ht="4.5" customHeight="1" hidden="1" spans="1:66" x14ac:dyDescent="0.25" outlineLevel="1" collapsed="1">
      <c r="A50" s="4"/>
      <c r="B50" s="40"/>
      <c r="C50" s="40"/>
      <c r="D50" s="75"/>
      <c r="E50" s="75"/>
      <c r="F50" s="75"/>
      <c r="G50" s="75"/>
      <c r="H50" s="75"/>
      <c r="I50" s="563"/>
      <c r="J50" s="75"/>
      <c r="K50" s="75"/>
      <c r="L50" s="75"/>
      <c r="M50" s="75"/>
      <c r="N50" s="75"/>
      <c r="O50" s="75"/>
      <c r="P50" s="75"/>
      <c r="Q50" s="75"/>
      <c r="R50" s="75"/>
      <c r="S50" s="75"/>
      <c r="T50" s="75"/>
      <c r="U50" s="75"/>
      <c r="V50" s="75"/>
      <c r="W50" s="8"/>
      <c r="X50" s="4"/>
      <c r="Y50" s="40"/>
      <c r="Z50" s="75"/>
      <c r="AA50" s="75"/>
      <c r="AB50" s="75"/>
      <c r="AC50" s="75"/>
      <c r="AD50" s="75"/>
      <c r="AE50" s="563"/>
      <c r="AF50" s="75"/>
      <c r="AG50" s="75"/>
      <c r="AH50" s="75"/>
      <c r="AI50" s="75"/>
      <c r="AJ50" s="75"/>
      <c r="AK50" s="75"/>
      <c r="AL50" s="75"/>
      <c r="AM50" s="75"/>
      <c r="AN50" s="75"/>
      <c r="AO50" s="75"/>
      <c r="AP50" s="75"/>
      <c r="AQ50" s="75"/>
      <c r="AR50" s="75"/>
      <c r="AS50" s="4"/>
      <c r="AT50" s="4"/>
      <c r="AU50" s="40"/>
      <c r="AV50" s="75"/>
      <c r="AW50" s="75"/>
      <c r="AX50" s="75"/>
      <c r="AY50" s="75"/>
      <c r="AZ50" s="75"/>
      <c r="BA50" s="563"/>
      <c r="BB50" s="75"/>
      <c r="BC50" s="75"/>
      <c r="BD50" s="75"/>
      <c r="BE50" s="75"/>
      <c r="BF50" s="75"/>
      <c r="BG50" s="75"/>
      <c r="BH50" s="75"/>
      <c r="BI50" s="75"/>
      <c r="BJ50" s="75"/>
      <c r="BK50" s="75"/>
      <c r="BL50" s="75"/>
      <c r="BM50" s="75"/>
      <c r="BN50" s="75"/>
    </row>
    <row r="51" ht="13.5" customHeight="1" hidden="1" spans="1:66" x14ac:dyDescent="0.25" outlineLevel="1" collapsed="1">
      <c r="A51" s="4"/>
      <c r="B51" s="627" t="str">
        <f>B70</f>
        <v>IQ386225</v>
      </c>
      <c r="C51" s="627"/>
      <c r="D51" s="628" t="e">
        <f>_xll.ciqfunctions.udf.CIQ($B51, "IQ_COMPANY_NAME",Current_Date)</f>
        <v>#NAME?</v>
      </c>
      <c r="E51" s="629"/>
      <c r="F51" s="630" t="str">
        <f>$E$89</f>
        <v>RSG</v>
      </c>
      <c r="G51" s="631" t="e">
        <f>_xll.ciqfunctions.udf.CIQ($B51, "IQ_MARKETCAP",Current_Date)</f>
        <v>#NAME?</v>
      </c>
      <c r="H51" s="631" t="e">
        <f>_xll.ciqfunctions.udf.CIQ($B51, "IQ_TEV",Current_Date)</f>
        <v>#NAME?</v>
      </c>
      <c r="I51" s="632" t="e">
        <f>_xll.ciqfunctions.udf.CIQ($B51, "IQ_TOTAL_REV_1YR_ANN_GROWTH",IQ_LTM,Current_Date)/100</f>
        <v>#NAME?</v>
      </c>
      <c r="J51" s="632">
        <f>_xll.ciqfunctions.udf.CIQ($B51,"IQ_REVENUE_EST",IQ_FY+1)/(_xll.ciqfunctions.udf.CIQ($B51,"IQ_TOTAL_REV",IQ_FY))-1</f>
        <v>0.039471411551896374</v>
      </c>
      <c r="K51" s="632" t="e">
        <f>_xll.ciqfunctions.udf.CIQ($B51, "IQ_EPS_1YR_ANN_GROWTH",IQ_LTM,Current_Date)/100</f>
        <v>#NAME?</v>
      </c>
      <c r="L51" s="632">
        <f>_xll.ciqfunctions.udf.CIQ($B51,"IQ_EPS_EST",IQ_FY+1)/(_xll.ciqfunctions.udf.CIQ($B51,"IQ_DILUT_EPS_INCL",IQ_FY))-1</f>
        <v>0.06293836671802766</v>
      </c>
      <c r="M51" s="632">
        <f>_xll.ciqfunctions.udf.CIQ($B51, "IQ_EBITDA_MARGIN",IQ_LTM)/100</f>
        <v>0.312689</v>
      </c>
      <c r="N51" s="632">
        <f>_xll.ciqfunctions.udf.CIQ($B51,"IQ_EBITDA_EST",IQ_FY+1)/(_xll.ciqfunctions.udf.CIQ($B51,"IQ_REVENUE_EST",IQ_FY+1))</f>
        <v>0.31813162631376785</v>
      </c>
      <c r="O51" s="632">
        <f>_xll.ciqfunctions.udf.CIQ($B51, "IQ_NI_MARGIN",IQ_LTM)/100</f>
        <v>0.12768100000000002</v>
      </c>
      <c r="P51" s="632">
        <f>_xll.ciqfunctions.udf.CIQ($B51,"IQ_NI_EST",IQ_FY+1)/(_xll.ciqfunctions.udf.CIQ($B51,"IQ_REVENUE_EST",IQ_FY+1))</f>
        <v>0.12926752238569605</v>
      </c>
      <c r="Q51" s="633">
        <f>_xll.ciqfunctions.udf.CIQ($B51, "IQ_TEV_EBITDA",IQ_LTM)</f>
        <v>15.77205</v>
      </c>
      <c r="R51" s="633" t="e">
        <f>_xll.ciqfunctions.udf.CIQ($B51, "IQ_TEV",Current_Date)/_xll.ciqfunctions.udf.CIQ($B51, "IQ_EBITDA_EST",IQ_FY+1)</f>
        <v>#NAME?</v>
      </c>
      <c r="S51" s="633">
        <f>_xll.ciqfunctions.udf.CIQ($B51, "IQ_TEV_TOTAL_REV",IQ_LTM)</f>
        <v>4.90666</v>
      </c>
      <c r="T51" s="633" t="e">
        <f>_xll.ciqfunctions.udf.CIQ($B51, "IQ_TEV",Current_Date)/_xll.ciqfunctions.udf.CIQ($B51, "IQ_REVENUE_EST",IQ_FY+1)</f>
        <v>#NAME?</v>
      </c>
      <c r="U51" s="633">
        <f>_xll.ciqfunctions.udf.CIQ($B51, "IQ_PE_EXCL",IQ_LTM)</f>
        <v>32.42257</v>
      </c>
      <c r="V51" s="633" t="e">
        <f>_xll.ciqfunctions.udf.CIQ($B51, "IQ_MARKETCAP",Current_Date)/_xll.ciqfunctions.udf.CIQ($B51, "IQ_NI_EST",IQ_FY+1)</f>
        <v>#NAME?</v>
      </c>
      <c r="W51" s="8"/>
      <c r="X51" s="627" t="str">
        <f>X70</f>
        <v>IQ386225</v>
      </c>
      <c r="Y51" s="40"/>
      <c r="Z51" s="628" t="str">
        <f>Company_Name</f>
        <v>Republic Services, Inc.</v>
      </c>
      <c r="AA51" s="629"/>
      <c r="AB51" s="630" t="str">
        <f>$E$89</f>
        <v>RSG</v>
      </c>
      <c r="AC51" s="631" t="e">
        <f>_xll.ciqfunctions.udf.CIQ($X51, "IQ_MARKETCAP",Current_Date)</f>
        <v>#NAME?</v>
      </c>
      <c r="AD51" s="631" t="e">
        <f>_xll.ciqfunctions.udf.CIQ($X51, "IQ_TEV",Current_Date)</f>
        <v>#NAME?</v>
      </c>
      <c r="AE51" s="632" t="e">
        <f>_xll.ciqfunctions.udf.CIQ($X51, "IQ_TOTAL_REV_1YR_ANN_GROWTH",IQ_LTM,Current_Date)/100</f>
        <v>#NAME?</v>
      </c>
      <c r="AF51" s="632">
        <f>_xll.ciqfunctions.udf.CIQ($X51,"IQ_REVENUE_EST",IQ_FY+1)/(_xll.ciqfunctions.udf.CIQ($X51,"IQ_TOTAL_REV",IQ_FY))-1</f>
        <v>0.039471411551896374</v>
      </c>
      <c r="AG51" s="632" t="e">
        <f>_xll.ciqfunctions.udf.CIQ($X51, "IQ_EPS_1YR_ANN_GROWTH",IQ_LTM,Current_Date)/100</f>
        <v>#NAME?</v>
      </c>
      <c r="AH51" s="632">
        <f>_xll.ciqfunctions.udf.CIQ($X51,"IQ_EPS_EST",IQ_FY+1)/(_xll.ciqfunctions.udf.CIQ($X51,"IQ_DILUT_EPS_INCL",IQ_FY))-1</f>
        <v>0.06293836671802766</v>
      </c>
      <c r="AI51" s="632">
        <f>_xll.ciqfunctions.udf.CIQ($X51, "IQ_EBITDA_MARGIN",IQ_LTM)/100</f>
        <v>0.312689</v>
      </c>
      <c r="AJ51" s="632">
        <f>_xll.ciqfunctions.udf.CIQ($X51,"IQ_EBITDA_EST",IQ_FY+1)/(_xll.ciqfunctions.udf.CIQ($X51,"IQ_REVENUE_EST",IQ_FY+1))</f>
        <v>0.31813162631376785</v>
      </c>
      <c r="AK51" s="632">
        <f>_xll.ciqfunctions.udf.CIQ($X51, "IQ_NI_MARGIN",IQ_LTM)/100</f>
        <v>0.12768100000000002</v>
      </c>
      <c r="AL51" s="632">
        <f>_xll.ciqfunctions.udf.CIQ($X51,"IQ_NI_EST",IQ_FY+1)/(_xll.ciqfunctions.udf.CIQ($X51,"IQ_REVENUE_EST",IQ_FY+1))</f>
        <v>0.12926752238569605</v>
      </c>
      <c r="AM51" s="633">
        <f>_xll.ciqfunctions.udf.CIQ($X51, "IQ_TEV_EBITDA",IQ_LTM)</f>
        <v>15.77205</v>
      </c>
      <c r="AN51" s="633" t="e">
        <f>_xll.ciqfunctions.udf.CIQ($X51, "IQ_TEV",Current_Date)/_xll.ciqfunctions.udf.CIQ($X51, "IQ_EBITDA_EST",IQ_FY+1)</f>
        <v>#NAME?</v>
      </c>
      <c r="AO51" s="633">
        <f>_xll.ciqfunctions.udf.CIQ($X51, "IQ_TEV_TOTAL_REV",IQ_LTM)</f>
        <v>4.90666</v>
      </c>
      <c r="AP51" s="633" t="e">
        <f>_xll.ciqfunctions.udf.CIQ($X51, "IQ_TEV",Current_Date)/_xll.ciqfunctions.udf.CIQ($X51, "IQ_REVENUE_EST",IQ_FY+1)</f>
        <v>#NAME?</v>
      </c>
      <c r="AQ51" s="633">
        <f>_xll.ciqfunctions.udf.CIQ($X51, "IQ_PE_EXCL",IQ_LTM)</f>
        <v>32.42257</v>
      </c>
      <c r="AR51" s="634" t="e">
        <f>_xll.ciqfunctions.udf.CIQ($X51, "IQ_MARKETCAP",Current_Date)/_xll.ciqfunctions.udf.CIQ($X51, "IQ_NI_EST",IQ_FY+1)</f>
        <v>#NAME?</v>
      </c>
      <c r="AS51" s="4"/>
      <c r="AT51" s="627" t="str">
        <f>AT70</f>
        <v>IQ386225</v>
      </c>
      <c r="AU51" s="40"/>
      <c r="AV51" s="628" t="str">
        <f>Company_Name</f>
        <v>Republic Services, Inc.</v>
      </c>
      <c r="AW51" s="629"/>
      <c r="AX51" s="630" t="str">
        <f>Ticker</f>
        <v>RSG</v>
      </c>
      <c r="AY51" s="631" t="e">
        <f>_xll.ciqfunctions.udf.CIQ($AT51, "IQ_MARKETCAP",Current_Date)</f>
        <v>#NAME?</v>
      </c>
      <c r="AZ51" s="631" t="e">
        <f>_xll.ciqfunctions.udf.CIQ($AT51, "IQ_TEV",Current_Date)</f>
        <v>#NAME?</v>
      </c>
      <c r="BA51" s="632" t="e">
        <f>_xll.ciqfunctions.udf.CIQ($AT51, "IQ_TOTAL_REV_1YR_ANN_GROWTH",IQ_LTM,Current_Date)/100</f>
        <v>#NAME?</v>
      </c>
      <c r="BB51" s="632">
        <f>_xll.ciqfunctions.udf.CIQ($AT51,"IQ_REVENUE_EST",IQ_FY+1)/(_xll.ciqfunctions.udf.CIQ($AT51,"IQ_TOTAL_REV",IQ_FY))-1</f>
        <v>0.039471411551896374</v>
      </c>
      <c r="BC51" s="632" t="e">
        <f>_xll.ciqfunctions.udf.CIQ($AT51, "IQ_EPS_1YR_ANN_GROWTH",IQ_LTM,Current_Date)/100</f>
        <v>#NAME?</v>
      </c>
      <c r="BD51" s="632">
        <f>_xll.ciqfunctions.udf.CIQ($AT51,"IQ_EPS_EST",IQ_FY+1)/(_xll.ciqfunctions.udf.CIQ($AT51,"IQ_DILUT_EPS_INCL",IQ_FY))-1</f>
        <v>0.06293836671802766</v>
      </c>
      <c r="BE51" s="632">
        <f>_xll.ciqfunctions.udf.CIQ($AT51, "IQ_EBITDA_MARGIN",IQ_LTM)/100</f>
        <v>0.312689</v>
      </c>
      <c r="BF51" s="632">
        <f>_xll.ciqfunctions.udf.CIQ($AT51,"IQ_EBITDA_EST",IQ_FY+1)/(_xll.ciqfunctions.udf.CIQ($AT51,"IQ_REVENUE_EST",IQ_FY+1))</f>
        <v>0.31813162631376785</v>
      </c>
      <c r="BG51" s="632">
        <f>_xll.ciqfunctions.udf.CIQ($AT51, "IQ_NI_MARGIN",IQ_LTM)/100</f>
        <v>0.12768100000000002</v>
      </c>
      <c r="BH51" s="632">
        <f>_xll.ciqfunctions.udf.CIQ($AT51,"IQ_NI_EST",IQ_FY+1)/(_xll.ciqfunctions.udf.CIQ($AT51,"IQ_REVENUE_EST",IQ_FY+1))</f>
        <v>0.12926752238569605</v>
      </c>
      <c r="BI51" s="633">
        <f>_xll.ciqfunctions.udf.CIQ($AT51, "IQ_TEV_EBITDA",IQ_LTM)</f>
        <v>15.77205</v>
      </c>
      <c r="BJ51" s="633" t="e">
        <f>_xll.ciqfunctions.udf.CIQ($AT51, "IQ_TEV",Current_Date)/_xll.ciqfunctions.udf.CIQ($AT51, "IQ_EBITDA_EST",IQ_FY+1)</f>
        <v>#NAME?</v>
      </c>
      <c r="BK51" s="633">
        <f>_xll.ciqfunctions.udf.CIQ($AT51, "IQ_TEV_TOTAL_REV",IQ_LTM)</f>
        <v>4.90666</v>
      </c>
      <c r="BL51" s="633" t="e">
        <f>_xll.ciqfunctions.udf.CIQ($AT51, "IQ_TEV",Current_Date)/_xll.ciqfunctions.udf.CIQ($AT51, "IQ_REVENUE_EST",IQ_FY+1)</f>
        <v>#NAME?</v>
      </c>
      <c r="BM51" s="633">
        <f>_xll.ciqfunctions.udf.CIQ($AT51, "IQ_PE_EXCL",IQ_LTM)</f>
        <v>32.42257</v>
      </c>
      <c r="BN51" s="634" t="e">
        <f>_xll.ciqfunctions.udf.CIQ($AT51, "IQ_MARKETCAP",Current_Date)/_xll.ciqfunctions.udf.CIQ($AT51, "IQ_NI_EST",IQ_FY+1)</f>
        <v>#NAME?</v>
      </c>
    </row>
    <row r="52" ht="13.5" customHeight="1" hidden="1" spans="1:66" x14ac:dyDescent="0.25" outlineLevel="1" collapsed="1">
      <c r="A52" s="4"/>
      <c r="B52" s="627"/>
      <c r="C52" s="627"/>
      <c r="D52" s="8"/>
      <c r="E52" s="8"/>
      <c r="F52" s="75"/>
      <c r="G52" s="75"/>
      <c r="H52" s="75"/>
      <c r="I52" s="563"/>
      <c r="J52" s="563"/>
      <c r="K52" s="563"/>
      <c r="L52" s="563"/>
      <c r="M52" s="563"/>
      <c r="N52" s="563"/>
      <c r="O52" s="623"/>
      <c r="P52" s="623"/>
      <c r="Q52" s="571"/>
      <c r="R52" s="571"/>
      <c r="S52" s="75"/>
      <c r="T52" s="75"/>
      <c r="U52" s="75"/>
      <c r="V52" s="75"/>
      <c r="W52" s="8"/>
      <c r="X52" s="627"/>
      <c r="Y52" s="40"/>
      <c r="Z52" s="8"/>
      <c r="AA52" s="8"/>
      <c r="AB52" s="75"/>
      <c r="AC52" s="569"/>
      <c r="AD52" s="75"/>
      <c r="AE52" s="563"/>
      <c r="AF52" s="635"/>
      <c r="AG52" s="563"/>
      <c r="AH52" s="563"/>
      <c r="AI52" s="623"/>
      <c r="AJ52" s="623"/>
      <c r="AK52" s="623"/>
      <c r="AL52" s="623"/>
      <c r="AM52" s="571"/>
      <c r="AN52" s="571"/>
      <c r="AO52" s="75"/>
      <c r="AP52" s="75"/>
      <c r="AQ52" s="75"/>
      <c r="AR52" s="75"/>
      <c r="AS52" s="4"/>
      <c r="AT52" s="627"/>
      <c r="AU52" s="40"/>
      <c r="AV52" s="8"/>
      <c r="AW52" s="8"/>
      <c r="AX52" s="75"/>
      <c r="AY52" s="569"/>
      <c r="AZ52" s="75"/>
      <c r="BA52" s="563"/>
      <c r="BB52" s="635"/>
      <c r="BC52" s="563"/>
      <c r="BD52" s="563"/>
      <c r="BE52" s="623"/>
      <c r="BF52" s="623"/>
      <c r="BG52" s="623"/>
      <c r="BH52" s="623"/>
      <c r="BI52" s="571"/>
      <c r="BJ52" s="571"/>
      <c r="BK52" s="75"/>
      <c r="BL52" s="75"/>
      <c r="BM52" s="75"/>
      <c r="BN52" s="75"/>
    </row>
    <row r="53" ht="13.5" customHeight="1" hidden="1" spans="1:66" x14ac:dyDescent="0.25" outlineLevel="1" collapsed="1">
      <c r="A53" s="4"/>
      <c r="B53" s="627" t="str">
        <f>B72</f>
        <v>IQ190694</v>
      </c>
      <c r="C53" s="627"/>
      <c r="D53" s="8" t="e">
        <f>_xll.ciqfunctions.udf.CIQ($B53, "IQ_COMPANY_NAME",Current_Date)</f>
        <v>#NAME?</v>
      </c>
      <c r="E53" s="8"/>
      <c r="F53" s="75" t="str">
        <f>F72</f>
        <v>WM</v>
      </c>
      <c r="G53" s="572" t="e">
        <f>_xll.ciqfunctions.udf.CIQ($B53, "IQ_MARKETCAP",Current_Date)</f>
        <v>#NAME?</v>
      </c>
      <c r="H53" s="572" t="e">
        <f>_xll.ciqfunctions.udf.CIQ($B53, "IQ_TEV",Current_Date)</f>
        <v>#NAME?</v>
      </c>
      <c r="I53" s="570" t="e">
        <f>_xll.ciqfunctions.udf.CIQ($B53, "IQ_TOTAL_REV_1YR_ANN_GROWTH",IQ_LTM,Current_Date)/100</f>
        <v>#NAME?</v>
      </c>
      <c r="J53" s="570">
        <f>_xll.ciqfunctions.udf.CIQ($B53,"IQ_REVENUE_EST",IQ_FY+1)/(_xll.ciqfunctions.udf.CIQ($B53,"IQ_TOTAL_REV",IQ_FY))-1</f>
        <v>0.051819927392477316</v>
      </c>
      <c r="K53" s="570" t="e">
        <f>_xll.ciqfunctions.udf.CIQ($B53, "IQ_EPS_1YR_ANN_GROWTH",IQ_LTM,Current_Date)/100</f>
        <v>#NAME?</v>
      </c>
      <c r="L53" s="570">
        <f>_xll.ciqfunctions.udf.CIQ($B53,"IQ_EPS_EST",IQ_FY+1)/(_xll.ciqfunctions.udf.CIQ($B53,"IQ_DILUT_EPS_INCL",IQ_FY))-1</f>
        <v>0.22575970149253743</v>
      </c>
      <c r="M53" s="570">
        <f>_xll.ciqfunctions.udf.CIQ($B53, "IQ_EBITDA_MARGIN",IQ_LTM)/100</f>
        <v>0.300547</v>
      </c>
      <c r="N53" s="570">
        <f>_xll.ciqfunctions.udf.CIQ($B53,"IQ_EBITDA_EST",IQ_FY+1)/(_xll.ciqfunctions.udf.CIQ($B53,"IQ_REVENUE_EST",IQ_FY+1))</f>
        <v>0.309351453245627</v>
      </c>
      <c r="O53" s="570">
        <f>_xll.ciqfunctions.udf.CIQ($B53, "IQ_NI_MARGIN",IQ_LTM)/100</f>
        <v>0.10744300000000001</v>
      </c>
      <c r="P53" s="570">
        <f>_xll.ciqfunctions.udf.CIQ($B53,"IQ_NI_EST",IQ_FY+1)/(_xll.ciqfunctions.udf.CIQ($B53,"IQ_REVENUE_EST",IQ_FY+1))</f>
        <v>0.12423809964783024</v>
      </c>
      <c r="Q53" s="575">
        <f>_xll.ciqfunctions.udf.CIQ($B53, "IQ_TEV_EBITDA",IQ_LTM)</f>
        <v>15.0202</v>
      </c>
      <c r="R53" s="575" t="e">
        <f>_xll.ciqfunctions.udf.CIQ($B53, "IQ_TEV",Current_Date)/_xll.ciqfunctions.udf.CIQ($B53, "IQ_EBITDA_EST",IQ_FY+1)</f>
        <v>#NAME?</v>
      </c>
      <c r="S53" s="575">
        <f>_xll.ciqfunctions.udf.CIQ($B53, "IQ_TEV_TOTAL_REV",IQ_LTM)</f>
        <v>4.52024</v>
      </c>
      <c r="T53" s="575" t="e">
        <f>_xll.ciqfunctions.udf.CIQ($B53, "IQ_TEV",Current_Date)/_xll.ciqfunctions.udf.CIQ($B53, "IQ_REVENUE_EST",IQ_FY+1)</f>
        <v>#NAME?</v>
      </c>
      <c r="U53" s="575">
        <f>_xll.ciqfunctions.udf.CIQ($B53, "IQ_PE_EXCL",IQ_LTM)</f>
        <v>33.79552</v>
      </c>
      <c r="V53" s="575" t="e">
        <f>_xll.ciqfunctions.udf.CIQ($B53, "IQ_MARKETCAP",Current_Date)/_xll.ciqfunctions.udf.CIQ($B53, "IQ_NI_EST",IQ_FY+1)</f>
        <v>#NAME?</v>
      </c>
      <c r="W53" s="8"/>
      <c r="X53" s="627">
        <f>X72</f>
        <v>0</v>
      </c>
      <c r="Y53" s="40"/>
      <c r="Z53" s="8" t="e">
        <f>_xll.ciqfunctions.udf.CIQ($X53, "IQ_COMPANY_NAME",Current_Date)</f>
        <v>#NAME?</v>
      </c>
      <c r="AA53" s="8"/>
      <c r="AB53" s="75">
        <f>AB72</f>
        <v>0</v>
      </c>
      <c r="AC53" s="572" t="e">
        <f>_xll.ciqfunctions.udf.CIQ($X53, "IQ_MARKETCAP",Current_Date)</f>
        <v>#NAME?</v>
      </c>
      <c r="AD53" s="572" t="e">
        <f>_xll.ciqfunctions.udf.CIQ($X53, "IQ_TEV",Current_Date)</f>
        <v>#NAME?</v>
      </c>
      <c r="AE53" s="570" t="e">
        <f>_xll.ciqfunctions.udf.CIQ($X53, "IQ_TOTAL_REV_1YR_ANN_GROWTH",IQ_LTM,Current_Date)/100</f>
        <v>#NAME?</v>
      </c>
      <c r="AF53" s="570" t="e">
        <f>_xll.ciqfunctions.udf.CIQ($X53,"IQ_REVENUE_EST",IQ_FY+1)/(_xll.ciqfunctions.udf.CIQ($X53,"IQ_TOTAL_REV",IQ_FY))-1</f>
        <v>#VALUE!</v>
      </c>
      <c r="AG53" s="570" t="e">
        <f>_xll.ciqfunctions.udf.CIQ($X53, "IQ_EPS_1YR_ANN_GROWTH",IQ_LTM,Current_Date)/100</f>
        <v>#NAME?</v>
      </c>
      <c r="AH53" s="570" t="e">
        <f>_xll.ciqfunctions.udf.CIQ($X53,"IQ_EPS_EST",IQ_FY+1)/(_xll.ciqfunctions.udf.CIQ($X53,"IQ_DILUT_EPS_INCL",IQ_FY))-1</f>
        <v>#VALUE!</v>
      </c>
      <c r="AI53" s="570" t="e">
        <f>_xll.ciqfunctions.udf.CIQ($X53, "IQ_EBITDA_MARGIN",IQ_LTM)/100</f>
        <v>#VALUE!</v>
      </c>
      <c r="AJ53" s="570" t="e">
        <f>_xll.ciqfunctions.udf.CIQ($X53,"IQ_EBITDA_EST",IQ_FY+1)/(_xll.ciqfunctions.udf.CIQ($X53,"IQ_REVENUE_EST",IQ_FY+1))</f>
        <v>#VALUE!</v>
      </c>
      <c r="AK53" s="570" t="e">
        <f>_xll.ciqfunctions.udf.CIQ($X53, "IQ_NI_MARGIN",IQ_LTM)/100</f>
        <v>#VALUE!</v>
      </c>
      <c r="AL53" s="570" t="e">
        <f>_xll.ciqfunctions.udf.CIQ($X53,"IQ_NI_EST",IQ_FY+1)/(_xll.ciqfunctions.udf.CIQ($X53,"IQ_REVENUE_EST",IQ_FY+1))</f>
        <v>#VALUE!</v>
      </c>
      <c r="AM53" s="575" t="str">
        <f>_xll.ciqfunctions.udf.CIQ($X53, "IQ_TEV_EBITDA",IQ_LTM)</f>
        <v>(Invalid Identifier)</v>
      </c>
      <c r="AN53" s="575" t="e">
        <f>_xll.ciqfunctions.udf.CIQ($X53, "IQ_TEV",Current_Date)/_xll.ciqfunctions.udf.CIQ($X53, "IQ_EBITDA_EST",IQ_FY+1)</f>
        <v>#NAME?</v>
      </c>
      <c r="AO53" s="575" t="str">
        <f>_xll.ciqfunctions.udf.CIQ($X53, "IQ_TEV_TOTAL_REV",IQ_LTM)</f>
        <v>(Invalid Identifier)</v>
      </c>
      <c r="AP53" s="575" t="e">
        <f>_xll.ciqfunctions.udf.CIQ($X53, "IQ_TEV",Current_Date)/_xll.ciqfunctions.udf.CIQ($X53, "IQ_REVENUE_EST",IQ_FY+1)</f>
        <v>#NAME?</v>
      </c>
      <c r="AQ53" s="575" t="str">
        <f>_xll.ciqfunctions.udf.CIQ($X53, "IQ_PE_EXCL",IQ_LTM)</f>
        <v>(Invalid Identifier)</v>
      </c>
      <c r="AR53" s="575" t="e">
        <f>_xll.ciqfunctions.udf.CIQ($X53, "IQ_MARKETCAP",Current_Date)/_xll.ciqfunctions.udf.CIQ($X53, "IQ_NI_EST",IQ_FY+1)</f>
        <v>#NAME?</v>
      </c>
      <c r="AS53" s="4"/>
      <c r="AT53" s="627">
        <f>AT72</f>
        <v>0</v>
      </c>
      <c r="AU53" s="40"/>
      <c r="AV53" s="8" t="e">
        <f>_xll.ciqfunctions.udf.CIQ($AT53, "IQ_COMPANY_NAME",Current_Date)</f>
        <v>#NAME?</v>
      </c>
      <c r="AW53" s="8"/>
      <c r="AX53" s="75">
        <f>N93</f>
        <v>0</v>
      </c>
      <c r="AY53" s="572" t="e">
        <f>_xll.ciqfunctions.udf.CIQ($AT53, "IQ_MARKETCAP",Current_Date)</f>
        <v>#NAME?</v>
      </c>
      <c r="AZ53" s="572" t="e">
        <f>_xll.ciqfunctions.udf.CIQ($AT53, "IQ_TEV",Current_Date)</f>
        <v>#NAME?</v>
      </c>
      <c r="BA53" s="570" t="e">
        <f>_xll.ciqfunctions.udf.CIQ($AT53, "IQ_TOTAL_REV_1YR_ANN_GROWTH",IQ_LTM,Current_Date)/100</f>
        <v>#NAME?</v>
      </c>
      <c r="BB53" s="570" t="e">
        <f>_xll.ciqfunctions.udf.CIQ($AT53,"IQ_REVENUE_EST",IQ_FY+1)/(_xll.ciqfunctions.udf.CIQ($AT53,"IQ_TOTAL_REV",IQ_FY))-1</f>
        <v>#VALUE!</v>
      </c>
      <c r="BC53" s="570" t="e">
        <f>_xll.ciqfunctions.udf.CIQ($AT53, "IQ_EPS_1YR_ANN_GROWTH",IQ_LTM,Current_Date)/100</f>
        <v>#NAME?</v>
      </c>
      <c r="BD53" s="570" t="e">
        <f>_xll.ciqfunctions.udf.CIQ($AT53,"IQ_EPS_EST",IQ_FY+1)/(_xll.ciqfunctions.udf.CIQ($AT53,"IQ_DILUT_EPS_INCL",IQ_FY))-1</f>
        <v>#VALUE!</v>
      </c>
      <c r="BE53" s="570" t="e">
        <f>_xll.ciqfunctions.udf.CIQ($AT53, "IQ_EBITDA_MARGIN",IQ_LTM)/100</f>
        <v>#VALUE!</v>
      </c>
      <c r="BF53" s="570" t="e">
        <f>_xll.ciqfunctions.udf.CIQ($AT53,"IQ_EBITDA_EST",IQ_FY+1)/(_xll.ciqfunctions.udf.CIQ($AT53,"IQ_REVENUE_EST",IQ_FY+1))</f>
        <v>#VALUE!</v>
      </c>
      <c r="BG53" s="570" t="e">
        <f>_xll.ciqfunctions.udf.CIQ($AT53, "IQ_NI_MARGIN",IQ_LTM)/100</f>
        <v>#VALUE!</v>
      </c>
      <c r="BH53" s="570" t="e">
        <f>_xll.ciqfunctions.udf.CIQ($AT53,"IQ_NI_EST",IQ_FY+1)/(_xll.ciqfunctions.udf.CIQ($AT53,"IQ_REVENUE_EST",IQ_FY+1))</f>
        <v>#VALUE!</v>
      </c>
      <c r="BI53" s="575" t="str">
        <f>_xll.ciqfunctions.udf.CIQ($AT53, "IQ_TEV_EBITDA",IQ_LTM)</f>
        <v>(Invalid Identifier)</v>
      </c>
      <c r="BJ53" s="575" t="e">
        <f>_xll.ciqfunctions.udf.CIQ($AT53, "IQ_TEV",Current_Date)/_xll.ciqfunctions.udf.CIQ($AT53, "IQ_EBITDA_EST",IQ_FY+1)</f>
        <v>#NAME?</v>
      </c>
      <c r="BK53" s="575" t="str">
        <f>_xll.ciqfunctions.udf.CIQ($AT53, "IQ_TEV_TOTAL_REV",IQ_LTM)</f>
        <v>(Invalid Identifier)</v>
      </c>
      <c r="BL53" s="575" t="e">
        <f>_xll.ciqfunctions.udf.CIQ($AT53, "IQ_TEV",Current_Date)/_xll.ciqfunctions.udf.CIQ($AT53, "IQ_REVENUE_EST",IQ_FY+1)</f>
        <v>#NAME?</v>
      </c>
      <c r="BM53" s="575" t="str">
        <f>_xll.ciqfunctions.udf.CIQ($AT53, "IQ_PE_EXCL",IQ_LTM)</f>
        <v>(Invalid Identifier)</v>
      </c>
      <c r="BN53" s="575" t="e">
        <f>_xll.ciqfunctions.udf.CIQ($AT53, "IQ_MARKETCAP",Current_Date)/_xll.ciqfunctions.udf.CIQ($AT53, "IQ_NI_EST",IQ_FY+1)</f>
        <v>#NAME?</v>
      </c>
    </row>
    <row r="54" ht="13.5" customHeight="1" hidden="1" spans="1:66" x14ac:dyDescent="0.25" outlineLevel="1" collapsed="1">
      <c r="A54" s="4"/>
      <c r="B54" s="627" t="str">
        <f>B73</f>
        <v>IQ384586</v>
      </c>
      <c r="C54" s="627"/>
      <c r="D54" s="8" t="e">
        <f>_xll.ciqfunctions.udf.CIQ($B54, "IQ_COMPANY_NAME",Current_Date)</f>
        <v>#NAME?</v>
      </c>
      <c r="E54" s="8"/>
      <c r="F54" s="75" t="str">
        <f>F73</f>
        <v>WCN</v>
      </c>
      <c r="G54" s="572" t="e">
        <f>_xll.ciqfunctions.udf.CIQ($B54, "IQ_MARKETCAP",Current_Date)</f>
        <v>#NAME?</v>
      </c>
      <c r="H54" s="572" t="e">
        <f>_xll.ciqfunctions.udf.CIQ($B54, "IQ_TEV",Current_Date)</f>
        <v>#NAME?</v>
      </c>
      <c r="I54" s="570" t="e">
        <f>_xll.ciqfunctions.udf.CIQ($B54, "IQ_TOTAL_REV_1YR_ANN_GROWTH",IQ_LTM,Current_Date)/100</f>
        <v>#NAME?</v>
      </c>
      <c r="J54" s="570">
        <f>_xll.ciqfunctions.udf.CIQ($B54,"IQ_REVENUE_EST",IQ_FY+1)/(_xll.ciqfunctions.udf.CIQ($B54,"IQ_TOTAL_REV",IQ_FY))-1</f>
        <v>0.06061033628111412</v>
      </c>
      <c r="K54" s="570" t="e">
        <f>_xll.ciqfunctions.udf.CIQ($B54, "IQ_EPS_1YR_ANN_GROWTH",IQ_LTM,Current_Date)/100</f>
        <v>#NAME?</v>
      </c>
      <c r="L54" s="570">
        <f>_xll.ciqfunctions.udf.CIQ($B54,"IQ_EPS_EST",IQ_FY+1)/(_xll.ciqfunctions.udf.CIQ($B54,"IQ_DILUT_EPS_INCL",IQ_FY))-1</f>
        <v>1.150866108786611</v>
      </c>
      <c r="M54" s="570">
        <f>_xll.ciqfunctions.udf.CIQ($B54, "IQ_EBITDA_MARGIN",IQ_LTM)/100</f>
        <v>0.267936</v>
      </c>
      <c r="N54" s="570">
        <f>_xll.ciqfunctions.udf.CIQ($B54,"IQ_EBITDA_EST",IQ_FY+1)/(_xll.ciqfunctions.udf.CIQ($B54,"IQ_REVENUE_EST",IQ_FY+1))</f>
        <v>0.32956900162646596</v>
      </c>
      <c r="O54" s="570">
        <f>_xll.ciqfunctions.udf.CIQ($B54, "IQ_NI_MARGIN",IQ_LTM)/100</f>
        <v>0.066502</v>
      </c>
      <c r="P54" s="570">
        <f>_xll.ciqfunctions.udf.CIQ($B54,"IQ_NI_EST",IQ_FY+1)/(_xll.ciqfunctions.udf.CIQ($B54,"IQ_REVENUE_EST",IQ_FY+1))</f>
        <v>0.14040146703248643</v>
      </c>
      <c r="Q54" s="575">
        <f>_xll.ciqfunctions.udf.CIQ($B54, "IQ_TEV_EBITDA",IQ_LTM)</f>
        <v>20.37937</v>
      </c>
      <c r="R54" s="575" t="e">
        <f>_xll.ciqfunctions.udf.CIQ($B54, "IQ_TEV",Current_Date)/_xll.ciqfunctions.udf.CIQ($B54, "IQ_EBITDA_EST",IQ_FY+1)</f>
        <v>#NAME?</v>
      </c>
      <c r="S54" s="575">
        <f>_xll.ciqfunctions.udf.CIQ($B54, "IQ_TEV_TOTAL_REV",IQ_LTM)</f>
        <v>5.57728</v>
      </c>
      <c r="T54" s="575" t="e">
        <f>_xll.ciqfunctions.udf.CIQ($B54, "IQ_TEV",Current_Date)/_xll.ciqfunctions.udf.CIQ($B54, "IQ_REVENUE_EST",IQ_FY+1)</f>
        <v>#NAME?</v>
      </c>
      <c r="U54" s="575">
        <f>_xll.ciqfunctions.udf.CIQ($B54, "IQ_PE_EXCL",IQ_LTM)</f>
        <v>70.55153</v>
      </c>
      <c r="V54" s="575" t="e">
        <f>_xll.ciqfunctions.udf.CIQ($B54, "IQ_MARKETCAP",Current_Date)/_xll.ciqfunctions.udf.CIQ($B54, "IQ_NI_EST",IQ_FY+1)</f>
        <v>#NAME?</v>
      </c>
      <c r="W54" s="8"/>
      <c r="X54" s="627">
        <f>X73</f>
        <v>0</v>
      </c>
      <c r="Y54" s="40"/>
      <c r="Z54" s="8" t="e">
        <f>_xll.ciqfunctions.udf.CIQ($X54, "IQ_COMPANY_NAME",Current_Date)</f>
        <v>#NAME?</v>
      </c>
      <c r="AA54" s="8"/>
      <c r="AB54" s="75">
        <f>AB73</f>
        <v>0</v>
      </c>
      <c r="AC54" s="572" t="e">
        <f>_xll.ciqfunctions.udf.CIQ($X54, "IQ_MARKETCAP",Current_Date)</f>
        <v>#NAME?</v>
      </c>
      <c r="AD54" s="572" t="e">
        <f>_xll.ciqfunctions.udf.CIQ($X54, "IQ_TEV",Current_Date)</f>
        <v>#NAME?</v>
      </c>
      <c r="AE54" s="570" t="e">
        <f>_xll.ciqfunctions.udf.CIQ($X54, "IQ_TOTAL_REV_1YR_ANN_GROWTH",IQ_LTM,Current_Date)/100</f>
        <v>#NAME?</v>
      </c>
      <c r="AF54" s="570" t="e">
        <f>_xll.ciqfunctions.udf.CIQ($X54,"IQ_REVENUE_EST",IQ_FY+1)/(_xll.ciqfunctions.udf.CIQ($X54,"IQ_TOTAL_REV",IQ_FY))-1</f>
        <v>#VALUE!</v>
      </c>
      <c r="AG54" s="570" t="e">
        <f>_xll.ciqfunctions.udf.CIQ($X54, "IQ_EPS_1YR_ANN_GROWTH",IQ_LTM,Current_Date)/100</f>
        <v>#NAME?</v>
      </c>
      <c r="AH54" s="570" t="e">
        <f>_xll.ciqfunctions.udf.CIQ($X54,"IQ_EPS_EST",IQ_FY+1)/(_xll.ciqfunctions.udf.CIQ($X54,"IQ_DILUT_EPS_INCL",IQ_FY))-1</f>
        <v>#VALUE!</v>
      </c>
      <c r="AI54" s="570" t="e">
        <f>_xll.ciqfunctions.udf.CIQ($X54, "IQ_EBITDA_MARGIN",IQ_LTM)/100</f>
        <v>#VALUE!</v>
      </c>
      <c r="AJ54" s="570" t="e">
        <f>_xll.ciqfunctions.udf.CIQ($X54,"IQ_EBITDA_EST",IQ_FY+1)/(_xll.ciqfunctions.udf.CIQ($X54,"IQ_REVENUE_EST",IQ_FY+1))</f>
        <v>#VALUE!</v>
      </c>
      <c r="AK54" s="570" t="e">
        <f>_xll.ciqfunctions.udf.CIQ($X54, "IQ_NI_MARGIN",IQ_LTM)/100</f>
        <v>#VALUE!</v>
      </c>
      <c r="AL54" s="570" t="e">
        <f>_xll.ciqfunctions.udf.CIQ($X54,"IQ_NI_EST",IQ_FY+1)/(_xll.ciqfunctions.udf.CIQ($X54,"IQ_REVENUE_EST",IQ_FY+1))</f>
        <v>#VALUE!</v>
      </c>
      <c r="AM54" s="575" t="str">
        <f>_xll.ciqfunctions.udf.CIQ($X54, "IQ_TEV_EBITDA",IQ_LTM)</f>
        <v>(Invalid Identifier)</v>
      </c>
      <c r="AN54" s="575" t="e">
        <f>_xll.ciqfunctions.udf.CIQ($X54, "IQ_TEV",Current_Date)/_xll.ciqfunctions.udf.CIQ($X54, "IQ_EBITDA_EST",IQ_FY+1)</f>
        <v>#NAME?</v>
      </c>
      <c r="AO54" s="575" t="str">
        <f>_xll.ciqfunctions.udf.CIQ($X54, "IQ_TEV_TOTAL_REV",IQ_LTM)</f>
        <v>(Invalid Identifier)</v>
      </c>
      <c r="AP54" s="575" t="e">
        <f>_xll.ciqfunctions.udf.CIQ($X54, "IQ_TEV",Current_Date)/_xll.ciqfunctions.udf.CIQ($X54, "IQ_REVENUE_EST",IQ_FY+1)</f>
        <v>#NAME?</v>
      </c>
      <c r="AQ54" s="575" t="str">
        <f>_xll.ciqfunctions.udf.CIQ($X54, "IQ_PE_EXCL",IQ_LTM)</f>
        <v>(Invalid Identifier)</v>
      </c>
      <c r="AR54" s="575" t="e">
        <f>_xll.ciqfunctions.udf.CIQ($X54, "IQ_MARKETCAP",Current_Date)/_xll.ciqfunctions.udf.CIQ($X54, "IQ_NI_EST",IQ_FY+1)</f>
        <v>#NAME?</v>
      </c>
      <c r="AS54" s="4"/>
      <c r="AT54" s="627">
        <f>AT73</f>
        <v>0</v>
      </c>
      <c r="AU54" s="40"/>
      <c r="AV54" s="8" t="e">
        <f>_xll.ciqfunctions.udf.CIQ($AT54, "IQ_COMPANY_NAME",Current_Date)</f>
        <v>#NAME?</v>
      </c>
      <c r="AW54" s="8"/>
      <c r="AX54" s="75">
        <f>N97</f>
        <v>0</v>
      </c>
      <c r="AY54" s="572" t="e">
        <f>_xll.ciqfunctions.udf.CIQ($AT54, "IQ_MARKETCAP",Current_Date)</f>
        <v>#NAME?</v>
      </c>
      <c r="AZ54" s="572" t="e">
        <f>_xll.ciqfunctions.udf.CIQ($AT54, "IQ_TEV",Current_Date)</f>
        <v>#NAME?</v>
      </c>
      <c r="BA54" s="570" t="e">
        <f>_xll.ciqfunctions.udf.CIQ($AT54, "IQ_TOTAL_REV_1YR_ANN_GROWTH",IQ_LTM,Current_Date)/100</f>
        <v>#NAME?</v>
      </c>
      <c r="BB54" s="570" t="e">
        <f>_xll.ciqfunctions.udf.CIQ($AT54,"IQ_REVENUE_EST",IQ_FY+1)/(_xll.ciqfunctions.udf.CIQ($AT54,"IQ_TOTAL_REV",IQ_FY))-1</f>
        <v>#VALUE!</v>
      </c>
      <c r="BC54" s="570" t="e">
        <f>_xll.ciqfunctions.udf.CIQ($AT54, "IQ_EPS_1YR_ANN_GROWTH",IQ_LTM,Current_Date)/100</f>
        <v>#NAME?</v>
      </c>
      <c r="BD54" s="570" t="e">
        <f>_xll.ciqfunctions.udf.CIQ($AT54,"IQ_EPS_EST",IQ_FY+1)/(_xll.ciqfunctions.udf.CIQ($AT54,"IQ_DILUT_EPS_INCL",IQ_FY))-1</f>
        <v>#VALUE!</v>
      </c>
      <c r="BE54" s="570" t="e">
        <f>_xll.ciqfunctions.udf.CIQ($AT54, "IQ_EBITDA_MARGIN",IQ_LTM)/100</f>
        <v>#VALUE!</v>
      </c>
      <c r="BF54" s="570" t="e">
        <f>_xll.ciqfunctions.udf.CIQ($AT54,"IQ_EBITDA_EST",IQ_FY+1)/(_xll.ciqfunctions.udf.CIQ($AT54,"IQ_REVENUE_EST",IQ_FY+1))</f>
        <v>#VALUE!</v>
      </c>
      <c r="BG54" s="570" t="e">
        <f>_xll.ciqfunctions.udf.CIQ($AT54, "IQ_NI_MARGIN",IQ_LTM)/100</f>
        <v>#VALUE!</v>
      </c>
      <c r="BH54" s="570" t="e">
        <f>_xll.ciqfunctions.udf.CIQ($AT54,"IQ_NI_EST",IQ_FY+1)/(_xll.ciqfunctions.udf.CIQ($AT54,"IQ_REVENUE_EST",IQ_FY+1))</f>
        <v>#VALUE!</v>
      </c>
      <c r="BI54" s="575" t="str">
        <f>_xll.ciqfunctions.udf.CIQ($AT54, "IQ_TEV_EBITDA",IQ_LTM)</f>
        <v>(Invalid Identifier)</v>
      </c>
      <c r="BJ54" s="575" t="e">
        <f>_xll.ciqfunctions.udf.CIQ($AT54, "IQ_TEV",Current_Date)/_xll.ciqfunctions.udf.CIQ($AT54, "IQ_EBITDA_EST",IQ_FY+1)</f>
        <v>#NAME?</v>
      </c>
      <c r="BK54" s="575" t="str">
        <f>_xll.ciqfunctions.udf.CIQ($AT54, "IQ_TEV_TOTAL_REV",IQ_LTM)</f>
        <v>(Invalid Identifier)</v>
      </c>
      <c r="BL54" s="575" t="e">
        <f>_xll.ciqfunctions.udf.CIQ($AT54, "IQ_TEV",Current_Date)/_xll.ciqfunctions.udf.CIQ($AT54, "IQ_REVENUE_EST",IQ_FY+1)</f>
        <v>#NAME?</v>
      </c>
      <c r="BM54" s="575" t="str">
        <f>_xll.ciqfunctions.udf.CIQ($AT54, "IQ_PE_EXCL",IQ_LTM)</f>
        <v>(Invalid Identifier)</v>
      </c>
      <c r="BN54" s="575" t="e">
        <f>_xll.ciqfunctions.udf.CIQ($AT54, "IQ_MARKETCAP",Current_Date)/_xll.ciqfunctions.udf.CIQ($AT54, "IQ_NI_EST",IQ_FY+1)</f>
        <v>#NAME?</v>
      </c>
    </row>
    <row r="55" ht="13.5" customHeight="1" hidden="1" spans="1:66" x14ac:dyDescent="0.25" outlineLevel="1" collapsed="1">
      <c r="A55" s="4"/>
      <c r="B55" s="627" t="str">
        <f>B74</f>
        <v>IQ58576575</v>
      </c>
      <c r="C55" s="627"/>
      <c r="D55" s="8" t="e">
        <f>_xll.ciqfunctions.udf.CIQ($B55, "IQ_COMPANY_NAME",Current_Date)</f>
        <v>#NAME?</v>
      </c>
      <c r="E55" s="8"/>
      <c r="F55" s="75" t="str">
        <f>F74</f>
        <v>GFL</v>
      </c>
      <c r="G55" s="572" t="e">
        <f>_xll.ciqfunctions.udf.CIQ($B55, "IQ_MARKETCAP",Current_Date)</f>
        <v>#NAME?</v>
      </c>
      <c r="H55" s="572" t="e">
        <f>_xll.ciqfunctions.udf.CIQ($B55, "IQ_TEV",Current_Date)</f>
        <v>#NAME?</v>
      </c>
      <c r="I55" s="570" t="e">
        <f>_xll.ciqfunctions.udf.CIQ($B55, "IQ_TOTAL_REV_1YR_ANN_GROWTH",IQ_LTM,Current_Date)/100</f>
        <v>#NAME?</v>
      </c>
      <c r="J55" s="570">
        <f>_xll.ciqfunctions.udf.CIQ($B55,"IQ_REVENUE_EST",IQ_FY+1)/(_xll.ciqfunctions.udf.CIQ($B55,"IQ_TOTAL_REV",IQ_FY))-1</f>
        <v>-0.16099673619944033</v>
      </c>
      <c r="K55" s="570" t="e">
        <f>_xll.ciqfunctions.udf.CIQ($B55, "IQ_EPS_1YR_ANN_GROWTH",IQ_LTM,Current_Date)/100</f>
        <v>#NAME?</v>
      </c>
      <c r="L55" s="570">
        <f>_xll.ciqfunctions.udf.CIQ($B55,"IQ_EPS_EST",IQ_FY+1)/(_xll.ciqfunctions.udf.CIQ($B55,"IQ_DILUT_EPS_INCL",IQ_FY))-1</f>
        <v>-1.2808834758523873</v>
      </c>
      <c r="M55" s="570">
        <f>_xll.ciqfunctions.udf.CIQ($B55, "IQ_EBITDA_MARGIN",IQ_LTM)/100</f>
        <v>0.228577</v>
      </c>
      <c r="N55" s="570">
        <f>_xll.ciqfunctions.udf.CIQ($B55,"IQ_EBITDA_EST",IQ_FY+1)/(_xll.ciqfunctions.udf.CIQ($B55,"IQ_REVENUE_EST",IQ_FY+1))</f>
        <v>0.2995183852865738</v>
      </c>
      <c r="O55" s="570">
        <f>_xll.ciqfunctions.udf.CIQ($B55, "IQ_NI_MARGIN",IQ_LTM)/100</f>
        <v>0.439098</v>
      </c>
      <c r="P55" s="570">
        <f>_xll.ciqfunctions.udf.CIQ($B55,"IQ_NI_EST",IQ_FY+1)/(_xll.ciqfunctions.udf.CIQ($B55,"IQ_REVENUE_EST",IQ_FY+1))</f>
        <v>0.03474699871835844</v>
      </c>
      <c r="Q55" s="575">
        <f>_xll.ciqfunctions.udf.CIQ($B55, "IQ_TEV_EBITDA",IQ_LTM)</f>
        <v>14.7448</v>
      </c>
      <c r="R55" s="575" t="e">
        <f>_xll.ciqfunctions.udf.CIQ($B55, "IQ_TEV",Current_Date)/_xll.ciqfunctions.udf.CIQ($B55, "IQ_EBITDA_EST",IQ_FY+1)</f>
        <v>#NAME?</v>
      </c>
      <c r="S55" s="575">
        <f>_xll.ciqfunctions.udf.CIQ($B55, "IQ_TEV_TOTAL_REV",IQ_LTM)</f>
        <v>3.49781</v>
      </c>
      <c r="T55" s="575" t="e">
        <f>_xll.ciqfunctions.udf.CIQ($B55, "IQ_TEV",Current_Date)/_xll.ciqfunctions.udf.CIQ($B55, "IQ_REVENUE_EST",IQ_FY+1)</f>
        <v>#NAME?</v>
      </c>
      <c r="U55" s="575">
        <f>_xll.ciqfunctions.udf.CIQ($B55, "IQ_PE_EXCL",IQ_LTM)</f>
        <v>267.47033</v>
      </c>
      <c r="V55" s="575" t="e">
        <f>_xll.ciqfunctions.udf.CIQ($B55, "IQ_MARKETCAP",Current_Date)/_xll.ciqfunctions.udf.CIQ($B55, "IQ_NI_EST",IQ_FY+1)</f>
        <v>#NAME?</v>
      </c>
      <c r="W55" s="8"/>
      <c r="X55" s="627">
        <f>X74</f>
        <v>0</v>
      </c>
      <c r="Y55" s="40"/>
      <c r="Z55" s="8" t="e">
        <f>_xll.ciqfunctions.udf.CIQ($X55, "IQ_COMPANY_NAME",Current_Date)</f>
        <v>#NAME?</v>
      </c>
      <c r="AA55" s="8"/>
      <c r="AB55" s="75">
        <f>AB74</f>
        <v>0</v>
      </c>
      <c r="AC55" s="572" t="e">
        <f>_xll.ciqfunctions.udf.CIQ($X55, "IQ_MARKETCAP",Current_Date)</f>
        <v>#NAME?</v>
      </c>
      <c r="AD55" s="572" t="e">
        <f>_xll.ciqfunctions.udf.CIQ($X55, "IQ_TEV",Current_Date)</f>
        <v>#NAME?</v>
      </c>
      <c r="AE55" s="570" t="e">
        <f>_xll.ciqfunctions.udf.CIQ($X55, "IQ_TOTAL_REV_1YR_ANN_GROWTH",IQ_LTM,Current_Date)/100</f>
        <v>#NAME?</v>
      </c>
      <c r="AF55" s="570" t="e">
        <f>_xll.ciqfunctions.udf.CIQ($X55,"IQ_REVENUE_EST",IQ_FY+1)/(_xll.ciqfunctions.udf.CIQ($X55,"IQ_TOTAL_REV",IQ_FY))-1</f>
        <v>#VALUE!</v>
      </c>
      <c r="AG55" s="570" t="e">
        <f>_xll.ciqfunctions.udf.CIQ($X55, "IQ_EPS_1YR_ANN_GROWTH",IQ_LTM,Current_Date)/100</f>
        <v>#NAME?</v>
      </c>
      <c r="AH55" s="570" t="e">
        <f>_xll.ciqfunctions.udf.CIQ($X55,"IQ_EPS_EST",IQ_FY+1)/(_xll.ciqfunctions.udf.CIQ($X55,"IQ_DILUT_EPS_INCL",IQ_FY))-1</f>
        <v>#VALUE!</v>
      </c>
      <c r="AI55" s="570" t="e">
        <f>_xll.ciqfunctions.udf.CIQ($X55, "IQ_EBITDA_MARGIN",IQ_LTM)/100</f>
        <v>#VALUE!</v>
      </c>
      <c r="AJ55" s="570" t="e">
        <f>_xll.ciqfunctions.udf.CIQ($X55,"IQ_EBITDA_EST",IQ_FY+1)/(_xll.ciqfunctions.udf.CIQ($X55,"IQ_REVENUE_EST",IQ_FY+1))</f>
        <v>#VALUE!</v>
      </c>
      <c r="AK55" s="570" t="e">
        <f>_xll.ciqfunctions.udf.CIQ($X55, "IQ_NI_MARGIN",IQ_LTM)/100</f>
        <v>#VALUE!</v>
      </c>
      <c r="AL55" s="570" t="e">
        <f>_xll.ciqfunctions.udf.CIQ($X55,"IQ_NI_EST",IQ_FY+1)/(_xll.ciqfunctions.udf.CIQ($X55,"IQ_REVENUE_EST",IQ_FY+1))</f>
        <v>#VALUE!</v>
      </c>
      <c r="AM55" s="575" t="str">
        <f>_xll.ciqfunctions.udf.CIQ($X55, "IQ_TEV_EBITDA",IQ_LTM)</f>
        <v>(Invalid Identifier)</v>
      </c>
      <c r="AN55" s="575" t="e">
        <f>_xll.ciqfunctions.udf.CIQ($X55, "IQ_TEV",Current_Date)/_xll.ciqfunctions.udf.CIQ($X55, "IQ_EBITDA_EST",IQ_FY+1)</f>
        <v>#NAME?</v>
      </c>
      <c r="AO55" s="575" t="str">
        <f>_xll.ciqfunctions.udf.CIQ($X55, "IQ_TEV_TOTAL_REV",IQ_LTM)</f>
        <v>(Invalid Identifier)</v>
      </c>
      <c r="AP55" s="575" t="e">
        <f>_xll.ciqfunctions.udf.CIQ($X55, "IQ_TEV",Current_Date)/_xll.ciqfunctions.udf.CIQ($X55, "IQ_REVENUE_EST",IQ_FY+1)</f>
        <v>#NAME?</v>
      </c>
      <c r="AQ55" s="575" t="str">
        <f>_xll.ciqfunctions.udf.CIQ($X55, "IQ_PE_EXCL",IQ_LTM)</f>
        <v>(Invalid Identifier)</v>
      </c>
      <c r="AR55" s="575" t="e">
        <f>_xll.ciqfunctions.udf.CIQ($X55, "IQ_MARKETCAP",Current_Date)/_xll.ciqfunctions.udf.CIQ($X55, "IQ_NI_EST",IQ_FY+1)</f>
        <v>#NAME?</v>
      </c>
      <c r="AS55" s="4"/>
      <c r="AT55" s="627">
        <f>AT74</f>
        <v>0</v>
      </c>
      <c r="AU55" s="40"/>
      <c r="AV55" s="8" t="e">
        <f>_xll.ciqfunctions.udf.CIQ($AT55, "IQ_COMPANY_NAME",Current_Date)</f>
        <v>#NAME?</v>
      </c>
      <c r="AW55" s="8"/>
      <c r="AX55" s="75">
        <f>N101</f>
        <v>0</v>
      </c>
      <c r="AY55" s="572" t="e">
        <f>_xll.ciqfunctions.udf.CIQ($AT55, "IQ_MARKETCAP",Current_Date)</f>
        <v>#NAME?</v>
      </c>
      <c r="AZ55" s="572" t="e">
        <f>_xll.ciqfunctions.udf.CIQ($AT55, "IQ_TEV",Current_Date)</f>
        <v>#NAME?</v>
      </c>
      <c r="BA55" s="570" t="e">
        <f>_xll.ciqfunctions.udf.CIQ($AT55, "IQ_TOTAL_REV_1YR_ANN_GROWTH",IQ_LTM,Current_Date)/100</f>
        <v>#NAME?</v>
      </c>
      <c r="BB55" s="570" t="e">
        <f>_xll.ciqfunctions.udf.CIQ($AT55,"IQ_REVENUE_EST",IQ_FY+1)/(_xll.ciqfunctions.udf.CIQ($AT55,"IQ_TOTAL_REV",IQ_FY))-1</f>
        <v>#VALUE!</v>
      </c>
      <c r="BC55" s="570" t="e">
        <f>_xll.ciqfunctions.udf.CIQ($AT55, "IQ_EPS_1YR_ANN_GROWTH",IQ_LTM,Current_Date)/100</f>
        <v>#NAME?</v>
      </c>
      <c r="BD55" s="570" t="e">
        <f>_xll.ciqfunctions.udf.CIQ($AT55,"IQ_EPS_EST",IQ_FY+1)/(_xll.ciqfunctions.udf.CIQ($AT55,"IQ_DILUT_EPS_INCL",IQ_FY))-1</f>
        <v>#VALUE!</v>
      </c>
      <c r="BE55" s="570" t="e">
        <f>_xll.ciqfunctions.udf.CIQ($AT55, "IQ_EBITDA_MARGIN",IQ_LTM)/100</f>
        <v>#VALUE!</v>
      </c>
      <c r="BF55" s="570" t="e">
        <f>_xll.ciqfunctions.udf.CIQ($AT55,"IQ_EBITDA_EST",IQ_FY+1)/(_xll.ciqfunctions.udf.CIQ($AT55,"IQ_REVENUE_EST",IQ_FY+1))</f>
        <v>#VALUE!</v>
      </c>
      <c r="BG55" s="570" t="e">
        <f>_xll.ciqfunctions.udf.CIQ($AT55, "IQ_NI_MARGIN",IQ_LTM)/100</f>
        <v>#VALUE!</v>
      </c>
      <c r="BH55" s="570" t="e">
        <f>_xll.ciqfunctions.udf.CIQ($AT55,"IQ_NI_EST",IQ_FY+1)/(_xll.ciqfunctions.udf.CIQ($AT55,"IQ_REVENUE_EST",IQ_FY+1))</f>
        <v>#VALUE!</v>
      </c>
      <c r="BI55" s="575" t="str">
        <f>_xll.ciqfunctions.udf.CIQ($AT55, "IQ_TEV_EBITDA",IQ_LTM)</f>
        <v>(Invalid Identifier)</v>
      </c>
      <c r="BJ55" s="575" t="e">
        <f>_xll.ciqfunctions.udf.CIQ($AT55, "IQ_TEV",Current_Date)/_xll.ciqfunctions.udf.CIQ($AT55, "IQ_EBITDA_EST",IQ_FY+1)</f>
        <v>#NAME?</v>
      </c>
      <c r="BK55" s="575" t="str">
        <f>_xll.ciqfunctions.udf.CIQ($AT55, "IQ_TEV_TOTAL_REV",IQ_LTM)</f>
        <v>(Invalid Identifier)</v>
      </c>
      <c r="BL55" s="575" t="e">
        <f>_xll.ciqfunctions.udf.CIQ($AT55, "IQ_TEV",Current_Date)/_xll.ciqfunctions.udf.CIQ($AT55, "IQ_REVENUE_EST",IQ_FY+1)</f>
        <v>#NAME?</v>
      </c>
      <c r="BM55" s="575" t="str">
        <f>_xll.ciqfunctions.udf.CIQ($AT55, "IQ_PE_EXCL",IQ_LTM)</f>
        <v>(Invalid Identifier)</v>
      </c>
      <c r="BN55" s="575" t="e">
        <f>_xll.ciqfunctions.udf.CIQ($AT55, "IQ_MARKETCAP",Current_Date)/_xll.ciqfunctions.udf.CIQ($AT55, "IQ_NI_EST",IQ_FY+1)</f>
        <v>#NAME?</v>
      </c>
    </row>
    <row r="56" ht="13.5" customHeight="1" hidden="1" spans="1:66" x14ac:dyDescent="0.25" outlineLevel="1" collapsed="1">
      <c r="A56" s="4"/>
      <c r="B56" s="627" t="str">
        <f>B75</f>
        <v>IQ26175</v>
      </c>
      <c r="C56" s="627"/>
      <c r="D56" s="8" t="e">
        <f>_xll.ciqfunctions.udf.CIQ($B56, "IQ_COMPANY_NAME",Current_Date)</f>
        <v>#NAME?</v>
      </c>
      <c r="E56" s="8"/>
      <c r="F56" s="75" t="str">
        <f>F75</f>
        <v>CWST</v>
      </c>
      <c r="G56" s="572" t="e">
        <f>_xll.ciqfunctions.udf.CIQ($B56, "IQ_MARKETCAP",Current_Date)</f>
        <v>#NAME?</v>
      </c>
      <c r="H56" s="572" t="e">
        <f>_xll.ciqfunctions.udf.CIQ($B56, "IQ_TEV",Current_Date)</f>
        <v>#NAME?</v>
      </c>
      <c r="I56" s="570" t="e">
        <f>_xll.ciqfunctions.udf.CIQ($B56, "IQ_TOTAL_REV_1YR_ANN_GROWTH",IQ_LTM,Current_Date)/100</f>
        <v>#NAME?</v>
      </c>
      <c r="J56" s="570">
        <f>_xll.ciqfunctions.udf.CIQ($B56,"IQ_REVENUE_EST",IQ_FY+1)/(_xll.ciqfunctions.udf.CIQ($B56,"IQ_TOTAL_REV",IQ_FY))-1</f>
        <v>0.18068513558550392</v>
      </c>
      <c r="K56" s="570" t="e">
        <f>_xll.ciqfunctions.udf.CIQ($B56, "IQ_EPS_1YR_ANN_GROWTH",IQ_LTM,Current_Date)/100</f>
        <v>#NAME?</v>
      </c>
      <c r="L56" s="570">
        <f>_xll.ciqfunctions.udf.CIQ($B56,"IQ_EPS_EST",IQ_FY+1)/(_xll.ciqfunctions.udf.CIQ($B56,"IQ_DILUT_EPS_INCL",IQ_FY))-1</f>
        <v>4.264116896263368</v>
      </c>
      <c r="M56" s="570">
        <f>_xll.ciqfunctions.udf.CIQ($B56, "IQ_EBITDA_MARGIN",IQ_LTM)/100</f>
        <v>0.21465199999999998</v>
      </c>
      <c r="N56" s="570">
        <f>_xll.ciqfunctions.udf.CIQ($B56,"IQ_EBITDA_EST",IQ_FY+1)/(_xll.ciqfunctions.udf.CIQ($B56,"IQ_REVENUE_EST",IQ_FY+1))</f>
        <v>0.22890766986401717</v>
      </c>
      <c r="O56" s="570">
        <f>_xll.ciqfunctions.udf.CIQ($B56, "IQ_NI_MARGIN",IQ_LTM)/100</f>
        <v>0.008498</v>
      </c>
      <c r="P56" s="570">
        <f>_xll.ciqfunctions.udf.CIQ($B56,"IQ_NI_EST",IQ_FY+1)/(_xll.ciqfunctions.udf.CIQ($B56,"IQ_REVENUE_EST",IQ_FY+1))</f>
        <v>0.04180603417305515</v>
      </c>
      <c r="Q56" s="575">
        <f>_xll.ciqfunctions.udf.CIQ($B56, "IQ_TEV_EBITDA",IQ_LTM)</f>
        <v>18.24135</v>
      </c>
      <c r="R56" s="575" t="e">
        <f>_xll.ciqfunctions.udf.CIQ($B56, "IQ_TEV",Current_Date)/_xll.ciqfunctions.udf.CIQ($B56, "IQ_EBITDA_EST",IQ_FY+1)</f>
        <v>#NAME?</v>
      </c>
      <c r="S56" s="575">
        <f>_xll.ciqfunctions.udf.CIQ($B56, "IQ_TEV_TOTAL_REV",IQ_LTM)</f>
        <v>4.25457</v>
      </c>
      <c r="T56" s="575" t="e">
        <f>_xll.ciqfunctions.udf.CIQ($B56, "IQ_TEV",Current_Date)/_xll.ciqfunctions.udf.CIQ($B56, "IQ_REVENUE_EST",IQ_FY+1)</f>
        <v>#NAME?</v>
      </c>
      <c r="U56" s="575" t="str">
        <f>_xll.ciqfunctions.udf.CIQ($B56, "IQ_PE_EXCL",IQ_LTM)</f>
        <v>NM</v>
      </c>
      <c r="V56" s="575" t="e">
        <f>_xll.ciqfunctions.udf.CIQ($B56, "IQ_MARKETCAP",Current_Date)/_xll.ciqfunctions.udf.CIQ($B56, "IQ_NI_EST",IQ_FY+1)</f>
        <v>#NAME?</v>
      </c>
      <c r="W56" s="8"/>
      <c r="X56" s="627">
        <f>X75</f>
        <v>0</v>
      </c>
      <c r="Y56" s="40"/>
      <c r="Z56" s="8" t="e">
        <f>_xll.ciqfunctions.udf.CIQ($X56, "IQ_COMPANY_NAME",Current_Date)</f>
        <v>#NAME?</v>
      </c>
      <c r="AA56" s="8"/>
      <c r="AB56" s="75">
        <f>AB75</f>
        <v>0</v>
      </c>
      <c r="AC56" s="572" t="e">
        <f>_xll.ciqfunctions.udf.CIQ($X56, "IQ_MARKETCAP",Current_Date)</f>
        <v>#NAME?</v>
      </c>
      <c r="AD56" s="572" t="e">
        <f>_xll.ciqfunctions.udf.CIQ($X56, "IQ_TEV",Current_Date)</f>
        <v>#NAME?</v>
      </c>
      <c r="AE56" s="570" t="e">
        <f>_xll.ciqfunctions.udf.CIQ($X56, "IQ_TOTAL_REV_1YR_ANN_GROWTH",IQ_LTM,Current_Date)/100</f>
        <v>#NAME?</v>
      </c>
      <c r="AF56" s="570" t="e">
        <f>_xll.ciqfunctions.udf.CIQ($X56,"IQ_REVENUE_EST",IQ_FY+1)/(_xll.ciqfunctions.udf.CIQ($X56,"IQ_TOTAL_REV",IQ_FY))-1</f>
        <v>#VALUE!</v>
      </c>
      <c r="AG56" s="570" t="e">
        <f>_xll.ciqfunctions.udf.CIQ($X56, "IQ_EPS_1YR_ANN_GROWTH",IQ_LTM,Current_Date)/100</f>
        <v>#NAME?</v>
      </c>
      <c r="AH56" s="570" t="e">
        <f>_xll.ciqfunctions.udf.CIQ($X56,"IQ_EPS_EST",IQ_FY+1)/(_xll.ciqfunctions.udf.CIQ($X56,"IQ_DILUT_EPS_INCL",IQ_FY))-1</f>
        <v>#VALUE!</v>
      </c>
      <c r="AI56" s="570" t="e">
        <f>_xll.ciqfunctions.udf.CIQ($X56, "IQ_EBITDA_MARGIN",IQ_LTM)/100</f>
        <v>#VALUE!</v>
      </c>
      <c r="AJ56" s="570" t="e">
        <f>_xll.ciqfunctions.udf.CIQ($X56,"IQ_EBITDA_EST",IQ_FY+1)/(_xll.ciqfunctions.udf.CIQ($X56,"IQ_REVENUE_EST",IQ_FY+1))</f>
        <v>#VALUE!</v>
      </c>
      <c r="AK56" s="570" t="e">
        <f>_xll.ciqfunctions.udf.CIQ($X56, "IQ_NI_MARGIN",IQ_LTM)/100</f>
        <v>#VALUE!</v>
      </c>
      <c r="AL56" s="570" t="e">
        <f>_xll.ciqfunctions.udf.CIQ($X56,"IQ_NI_EST",IQ_FY+1)/(_xll.ciqfunctions.udf.CIQ($X56,"IQ_REVENUE_EST",IQ_FY+1))</f>
        <v>#VALUE!</v>
      </c>
      <c r="AM56" s="575" t="str">
        <f>_xll.ciqfunctions.udf.CIQ($X56, "IQ_TEV_EBITDA",IQ_LTM)</f>
        <v>(Invalid Identifier)</v>
      </c>
      <c r="AN56" s="575" t="e">
        <f>_xll.ciqfunctions.udf.CIQ($X56, "IQ_TEV",Current_Date)/_xll.ciqfunctions.udf.CIQ($X56, "IQ_EBITDA_EST",IQ_FY+1)</f>
        <v>#NAME?</v>
      </c>
      <c r="AO56" s="575" t="str">
        <f>_xll.ciqfunctions.udf.CIQ($X56, "IQ_TEV_TOTAL_REV",IQ_LTM)</f>
        <v>(Invalid Identifier)</v>
      </c>
      <c r="AP56" s="575" t="e">
        <f>_xll.ciqfunctions.udf.CIQ($X56, "IQ_TEV",Current_Date)/_xll.ciqfunctions.udf.CIQ($X56, "IQ_REVENUE_EST",IQ_FY+1)</f>
        <v>#NAME?</v>
      </c>
      <c r="AQ56" s="575" t="str">
        <f>_xll.ciqfunctions.udf.CIQ($X56, "IQ_PE_EXCL",IQ_LTM)</f>
        <v>(Invalid Identifier)</v>
      </c>
      <c r="AR56" s="575" t="e">
        <f>_xll.ciqfunctions.udf.CIQ($X56, "IQ_MARKETCAP",Current_Date)/_xll.ciqfunctions.udf.CIQ($X56, "IQ_NI_EST",IQ_FY+1)</f>
        <v>#NAME?</v>
      </c>
      <c r="AS56" s="4"/>
      <c r="AT56" s="627">
        <f>AT75</f>
        <v>0</v>
      </c>
      <c r="AU56" s="40"/>
      <c r="AV56" s="8" t="e">
        <f>_xll.ciqfunctions.udf.CIQ($AT56, "IQ_COMPANY_NAME",Current_Date)</f>
        <v>#NAME?</v>
      </c>
      <c r="AW56" s="8"/>
      <c r="AX56" s="75">
        <f>N105</f>
        <v>0</v>
      </c>
      <c r="AY56" s="572" t="e">
        <f>_xll.ciqfunctions.udf.CIQ($AT56, "IQ_MARKETCAP",Current_Date)</f>
        <v>#NAME?</v>
      </c>
      <c r="AZ56" s="572" t="e">
        <f>_xll.ciqfunctions.udf.CIQ($AT56, "IQ_TEV",Current_Date)</f>
        <v>#NAME?</v>
      </c>
      <c r="BA56" s="570" t="e">
        <f>_xll.ciqfunctions.udf.CIQ($AT56, "IQ_TOTAL_REV_1YR_ANN_GROWTH",IQ_LTM,Current_Date)/100</f>
        <v>#NAME?</v>
      </c>
      <c r="BB56" s="570" t="e">
        <f>_xll.ciqfunctions.udf.CIQ($AT56,"IQ_REVENUE_EST",IQ_FY+1)/(_xll.ciqfunctions.udf.CIQ($AT56,"IQ_TOTAL_REV",IQ_FY))-1</f>
        <v>#VALUE!</v>
      </c>
      <c r="BC56" s="570" t="e">
        <f>_xll.ciqfunctions.udf.CIQ($AT56, "IQ_EPS_1YR_ANN_GROWTH",IQ_LTM,Current_Date)/100</f>
        <v>#NAME?</v>
      </c>
      <c r="BD56" s="570" t="e">
        <f>_xll.ciqfunctions.udf.CIQ($AT56,"IQ_EPS_EST",IQ_FY+1)/(_xll.ciqfunctions.udf.CIQ($AT56,"IQ_DILUT_EPS_INCL",IQ_FY))-1</f>
        <v>#VALUE!</v>
      </c>
      <c r="BE56" s="570" t="e">
        <f>_xll.ciqfunctions.udf.CIQ($AT56, "IQ_EBITDA_MARGIN",IQ_LTM)/100</f>
        <v>#VALUE!</v>
      </c>
      <c r="BF56" s="570" t="e">
        <f>_xll.ciqfunctions.udf.CIQ($AT56,"IQ_EBITDA_EST",IQ_FY+1)/(_xll.ciqfunctions.udf.CIQ($AT56,"IQ_REVENUE_EST",IQ_FY+1))</f>
        <v>#VALUE!</v>
      </c>
      <c r="BG56" s="570" t="e">
        <f>_xll.ciqfunctions.udf.CIQ($AT56, "IQ_NI_MARGIN",IQ_LTM)/100</f>
        <v>#VALUE!</v>
      </c>
      <c r="BH56" s="570" t="e">
        <f>_xll.ciqfunctions.udf.CIQ($AT56,"IQ_NI_EST",IQ_FY+1)/(_xll.ciqfunctions.udf.CIQ($AT56,"IQ_REVENUE_EST",IQ_FY+1))</f>
        <v>#VALUE!</v>
      </c>
      <c r="BI56" s="575" t="str">
        <f>_xll.ciqfunctions.udf.CIQ($AT56, "IQ_TEV_EBITDA",IQ_LTM)</f>
        <v>(Invalid Identifier)</v>
      </c>
      <c r="BJ56" s="575" t="e">
        <f>_xll.ciqfunctions.udf.CIQ($AT56, "IQ_TEV",Current_Date)/_xll.ciqfunctions.udf.CIQ($AT56, "IQ_EBITDA_EST",IQ_FY+1)</f>
        <v>#NAME?</v>
      </c>
      <c r="BK56" s="575" t="str">
        <f>_xll.ciqfunctions.udf.CIQ($AT56, "IQ_TEV_TOTAL_REV",IQ_LTM)</f>
        <v>(Invalid Identifier)</v>
      </c>
      <c r="BL56" s="575" t="e">
        <f>_xll.ciqfunctions.udf.CIQ($AT56, "IQ_TEV",Current_Date)/_xll.ciqfunctions.udf.CIQ($AT56, "IQ_REVENUE_EST",IQ_FY+1)</f>
        <v>#NAME?</v>
      </c>
      <c r="BM56" s="575" t="str">
        <f>_xll.ciqfunctions.udf.CIQ($AT56, "IQ_PE_EXCL",IQ_LTM)</f>
        <v>(Invalid Identifier)</v>
      </c>
      <c r="BN56" s="575" t="e">
        <f>_xll.ciqfunctions.udf.CIQ($AT56, "IQ_MARKETCAP",Current_Date)/_xll.ciqfunctions.udf.CIQ($AT56, "IQ_NI_EST",IQ_FY+1)</f>
        <v>#NAME?</v>
      </c>
    </row>
    <row r="57" ht="13.5" customHeight="1" hidden="1" spans="1:66" x14ac:dyDescent="0.25" outlineLevel="1" collapsed="1">
      <c r="A57" s="4"/>
      <c r="B57" s="627" t="str">
        <f>B76</f>
        <v>IQ26565</v>
      </c>
      <c r="C57" s="627"/>
      <c r="D57" s="8" t="e">
        <f>_xll.ciqfunctions.udf.CIQ($B57, "IQ_COMPANY_NAME",Current_Date)</f>
        <v>#NAME?</v>
      </c>
      <c r="E57" s="8"/>
      <c r="F57" s="75" t="str">
        <f>F76</f>
        <v>CLH</v>
      </c>
      <c r="G57" s="572" t="e">
        <f>_xll.ciqfunctions.udf.CIQ($B57, "IQ_MARKETCAP",Current_Date)</f>
        <v>#NAME?</v>
      </c>
      <c r="H57" s="572" t="e">
        <f>_xll.ciqfunctions.udf.CIQ($B57, "IQ_TEV",Current_Date)</f>
        <v>#NAME?</v>
      </c>
      <c r="I57" s="570" t="e">
        <f>_xll.ciqfunctions.udf.CIQ($B57, "IQ_TOTAL_REV_1YR_ANN_GROWTH",IQ_LTM,Current_Date)/100</f>
        <v>#NAME?</v>
      </c>
      <c r="J57" s="570">
        <f>_xll.ciqfunctions.udf.CIQ($B57,"IQ_REVENUE_EST",IQ_FY+1)/(_xll.ciqfunctions.udf.CIQ($B57,"IQ_TOTAL_REV",IQ_FY))-1</f>
        <v>0.017792104248048224</v>
      </c>
      <c r="K57" s="570" t="e">
        <f>_xll.ciqfunctions.udf.CIQ($B57, "IQ_EPS_1YR_ANN_GROWTH",IQ_LTM,Current_Date)/100</f>
        <v>#NAME?</v>
      </c>
      <c r="L57" s="570">
        <f>_xll.ciqfunctions.udf.CIQ($B57,"IQ_EPS_EST",IQ_FY+1)/(_xll.ciqfunctions.udf.CIQ($B57,"IQ_DILUT_EPS_INCL",IQ_FY))-1</f>
        <v>-0.022576819407008064</v>
      </c>
      <c r="M57" s="570">
        <f>_xll.ciqfunctions.udf.CIQ($B57, "IQ_EBITDA_MARGIN",IQ_LTM)/100</f>
        <v>0.18452300000000002</v>
      </c>
      <c r="N57" s="570">
        <f>_xll.ciqfunctions.udf.CIQ($B57,"IQ_EBITDA_EST",IQ_FY+1)/(_xll.ciqfunctions.udf.CIQ($B57,"IQ_REVENUE_EST",IQ_FY+1))</f>
        <v>0.19432895832942157</v>
      </c>
      <c r="O57" s="570">
        <f>_xll.ciqfunctions.udf.CIQ($B57, "IQ_NI_MARGIN",IQ_LTM)/100</f>
        <v>0.065136</v>
      </c>
      <c r="P57" s="570">
        <f>_xll.ciqfunctions.udf.CIQ($B57,"IQ_NI_EST",IQ_FY+1)/(_xll.ciqfunctions.udf.CIQ($B57,"IQ_REVENUE_EST",IQ_FY+1))</f>
        <v>0.06504352284019128</v>
      </c>
      <c r="Q57" s="575">
        <f>_xll.ciqfunctions.udf.CIQ($B57, "IQ_TEV_EBITDA",IQ_LTM)</f>
        <v>11.48395</v>
      </c>
      <c r="R57" s="575" t="e">
        <f>_xll.ciqfunctions.udf.CIQ($B57, "IQ_TEV",Current_Date)/_xll.ciqfunctions.udf.CIQ($B57, "IQ_EBITDA_EST",IQ_FY+1)</f>
        <v>#NAME?</v>
      </c>
      <c r="S57" s="575">
        <f>_xll.ciqfunctions.udf.CIQ($B57, "IQ_TEV_TOTAL_REV",IQ_LTM)</f>
        <v>2.73564</v>
      </c>
      <c r="T57" s="575" t="e">
        <f>_xll.ciqfunctions.udf.CIQ($B57, "IQ_TEV",Current_Date)/_xll.ciqfunctions.udf.CIQ($B57, "IQ_REVENUE_EST",IQ_FY+1)</f>
        <v>#NAME?</v>
      </c>
      <c r="U57" s="575">
        <f>_xll.ciqfunctions.udf.CIQ($B57, "IQ_PE_EXCL",IQ_LTM)</f>
        <v>36.25203</v>
      </c>
      <c r="V57" s="575" t="e">
        <f>_xll.ciqfunctions.udf.CIQ($B57, "IQ_MARKETCAP",Current_Date)/_xll.ciqfunctions.udf.CIQ($B57, "IQ_NI_EST",IQ_FY+1)</f>
        <v>#NAME?</v>
      </c>
      <c r="W57" s="8"/>
      <c r="X57" s="627">
        <f>X76</f>
        <v>0</v>
      </c>
      <c r="Y57" s="40"/>
      <c r="Z57" s="8" t="e">
        <f>_xll.ciqfunctions.udf.CIQ($X57, "IQ_COMPANY_NAME",Current_Date)</f>
        <v>#NAME?</v>
      </c>
      <c r="AA57" s="8"/>
      <c r="AB57" s="75">
        <f>AB76</f>
        <v>0</v>
      </c>
      <c r="AC57" s="572" t="e">
        <f>_xll.ciqfunctions.udf.CIQ($X57, "IQ_MARKETCAP",Current_Date)</f>
        <v>#NAME?</v>
      </c>
      <c r="AD57" s="572" t="e">
        <f>_xll.ciqfunctions.udf.CIQ($X57, "IQ_TEV",Current_Date)</f>
        <v>#NAME?</v>
      </c>
      <c r="AE57" s="570" t="e">
        <f>_xll.ciqfunctions.udf.CIQ($X57, "IQ_TOTAL_REV_1YR_ANN_GROWTH",IQ_LTM,Current_Date)/100</f>
        <v>#NAME?</v>
      </c>
      <c r="AF57" s="570" t="e">
        <f>_xll.ciqfunctions.udf.CIQ($X57,"IQ_REVENUE_EST",IQ_FY+1)/(_xll.ciqfunctions.udf.CIQ($X57,"IQ_TOTAL_REV",IQ_FY))-1</f>
        <v>#VALUE!</v>
      </c>
      <c r="AG57" s="570" t="e">
        <f>_xll.ciqfunctions.udf.CIQ($X57, "IQ_EPS_1YR_ANN_GROWTH",IQ_LTM,Current_Date)/100</f>
        <v>#NAME?</v>
      </c>
      <c r="AH57" s="570" t="e">
        <f>_xll.ciqfunctions.udf.CIQ($X57,"IQ_EPS_EST",IQ_FY+1)/(_xll.ciqfunctions.udf.CIQ($X57,"IQ_DILUT_EPS_INCL",IQ_FY))-1</f>
        <v>#VALUE!</v>
      </c>
      <c r="AI57" s="570" t="e">
        <f>_xll.ciqfunctions.udf.CIQ($X57, "IQ_EBITDA_MARGIN",IQ_LTM)/100</f>
        <v>#VALUE!</v>
      </c>
      <c r="AJ57" s="570" t="e">
        <f>_xll.ciqfunctions.udf.CIQ($X57,"IQ_EBITDA_EST",IQ_FY+1)/(_xll.ciqfunctions.udf.CIQ($X57,"IQ_REVENUE_EST",IQ_FY+1))</f>
        <v>#VALUE!</v>
      </c>
      <c r="AK57" s="570" t="e">
        <f>_xll.ciqfunctions.udf.CIQ($X57, "IQ_NI_MARGIN",IQ_LTM)/100</f>
        <v>#VALUE!</v>
      </c>
      <c r="AL57" s="570" t="e">
        <f>_xll.ciqfunctions.udf.CIQ($X57,"IQ_NI_EST",IQ_FY+1)/(_xll.ciqfunctions.udf.CIQ($X57,"IQ_REVENUE_EST",IQ_FY+1))</f>
        <v>#VALUE!</v>
      </c>
      <c r="AM57" s="575" t="str">
        <f>_xll.ciqfunctions.udf.CIQ($X57, "IQ_TEV_EBITDA",IQ_LTM)</f>
        <v>(Invalid Identifier)</v>
      </c>
      <c r="AN57" s="575" t="e">
        <f>_xll.ciqfunctions.udf.CIQ($X57, "IQ_TEV",Current_Date)/_xll.ciqfunctions.udf.CIQ($X57, "IQ_EBITDA_EST",IQ_FY+1)</f>
        <v>#NAME?</v>
      </c>
      <c r="AO57" s="575" t="str">
        <f>_xll.ciqfunctions.udf.CIQ($X57, "IQ_TEV_TOTAL_REV",IQ_LTM)</f>
        <v>(Invalid Identifier)</v>
      </c>
      <c r="AP57" s="575" t="e">
        <f>_xll.ciqfunctions.udf.CIQ($X57, "IQ_TEV",Current_Date)/_xll.ciqfunctions.udf.CIQ($X57, "IQ_REVENUE_EST",IQ_FY+1)</f>
        <v>#NAME?</v>
      </c>
      <c r="AQ57" s="575" t="str">
        <f>_xll.ciqfunctions.udf.CIQ($X57, "IQ_PE_EXCL",IQ_LTM)</f>
        <v>(Invalid Identifier)</v>
      </c>
      <c r="AR57" s="575" t="e">
        <f>_xll.ciqfunctions.udf.CIQ($X57, "IQ_MARKETCAP",Current_Date)/_xll.ciqfunctions.udf.CIQ($X57, "IQ_NI_EST",IQ_FY+1)</f>
        <v>#NAME?</v>
      </c>
      <c r="AS57" s="4"/>
      <c r="AT57" s="627">
        <f>AT76</f>
        <v>0</v>
      </c>
      <c r="AU57" s="40"/>
      <c r="AV57" s="8" t="e">
        <f>_xll.ciqfunctions.udf.CIQ($AT57, "IQ_COMPANY_NAME",Current_Date)</f>
        <v>#NAME?</v>
      </c>
      <c r="AW57" s="8"/>
      <c r="AX57" s="75">
        <f>N109</f>
        <v>0</v>
      </c>
      <c r="AY57" s="572" t="e">
        <f>_xll.ciqfunctions.udf.CIQ($AT57, "IQ_MARKETCAP",Current_Date)</f>
        <v>#NAME?</v>
      </c>
      <c r="AZ57" s="572" t="e">
        <f>_xll.ciqfunctions.udf.CIQ($AT57, "IQ_TEV",Current_Date)</f>
        <v>#NAME?</v>
      </c>
      <c r="BA57" s="570" t="e">
        <f>_xll.ciqfunctions.udf.CIQ($AT57, "IQ_TOTAL_REV_1YR_ANN_GROWTH",IQ_LTM,Current_Date)/100</f>
        <v>#NAME?</v>
      </c>
      <c r="BB57" s="570" t="e">
        <f>_xll.ciqfunctions.udf.CIQ($AT57,"IQ_REVENUE_EST",IQ_FY+1)/(_xll.ciqfunctions.udf.CIQ($AT57,"IQ_TOTAL_REV",IQ_FY))-1</f>
        <v>#VALUE!</v>
      </c>
      <c r="BC57" s="570" t="e">
        <f>_xll.ciqfunctions.udf.CIQ($AT57, "IQ_EPS_1YR_ANN_GROWTH",IQ_LTM,Current_Date)/100</f>
        <v>#NAME?</v>
      </c>
      <c r="BD57" s="570" t="e">
        <f>_xll.ciqfunctions.udf.CIQ($AT57,"IQ_EPS_EST",IQ_FY+1)/(_xll.ciqfunctions.udf.CIQ($AT57,"IQ_DILUT_EPS_INCL",IQ_FY))-1</f>
        <v>#VALUE!</v>
      </c>
      <c r="BE57" s="570" t="e">
        <f>_xll.ciqfunctions.udf.CIQ($AT57, "IQ_EBITDA_MARGIN",IQ_LTM)/100</f>
        <v>#VALUE!</v>
      </c>
      <c r="BF57" s="570" t="e">
        <f>_xll.ciqfunctions.udf.CIQ($AT57,"IQ_EBITDA_EST",IQ_FY+1)/(_xll.ciqfunctions.udf.CIQ($AT57,"IQ_REVENUE_EST",IQ_FY+1))</f>
        <v>#VALUE!</v>
      </c>
      <c r="BG57" s="570" t="e">
        <f>_xll.ciqfunctions.udf.CIQ($AT57, "IQ_NI_MARGIN",IQ_LTM)/100</f>
        <v>#VALUE!</v>
      </c>
      <c r="BH57" s="570" t="e">
        <f>_xll.ciqfunctions.udf.CIQ($AT57,"IQ_NI_EST",IQ_FY+1)/(_xll.ciqfunctions.udf.CIQ($AT57,"IQ_REVENUE_EST",IQ_FY+1))</f>
        <v>#VALUE!</v>
      </c>
      <c r="BI57" s="575" t="str">
        <f>_xll.ciqfunctions.udf.CIQ($AT57, "IQ_TEV_EBITDA",IQ_LTM)</f>
        <v>(Invalid Identifier)</v>
      </c>
      <c r="BJ57" s="575" t="e">
        <f>_xll.ciqfunctions.udf.CIQ($AT57, "IQ_TEV",Current_Date)/_xll.ciqfunctions.udf.CIQ($AT57, "IQ_EBITDA_EST",IQ_FY+1)</f>
        <v>#NAME?</v>
      </c>
      <c r="BK57" s="575" t="str">
        <f>_xll.ciqfunctions.udf.CIQ($AT57, "IQ_TEV_TOTAL_REV",IQ_LTM)</f>
        <v>(Invalid Identifier)</v>
      </c>
      <c r="BL57" s="575" t="e">
        <f>_xll.ciqfunctions.udf.CIQ($AT57, "IQ_TEV",Current_Date)/_xll.ciqfunctions.udf.CIQ($AT57, "IQ_REVENUE_EST",IQ_FY+1)</f>
        <v>#NAME?</v>
      </c>
      <c r="BM57" s="575" t="str">
        <f>_xll.ciqfunctions.udf.CIQ($AT57, "IQ_PE_EXCL",IQ_LTM)</f>
        <v>(Invalid Identifier)</v>
      </c>
      <c r="BN57" s="575" t="e">
        <f>_xll.ciqfunctions.udf.CIQ($AT57, "IQ_MARKETCAP",Current_Date)/_xll.ciqfunctions.udf.CIQ($AT57, "IQ_NI_EST",IQ_FY+1)</f>
        <v>#NAME?</v>
      </c>
    </row>
    <row r="58" ht="13.5" customHeight="1" hidden="1" spans="1:66" x14ac:dyDescent="0.25" outlineLevel="1" collapsed="1">
      <c r="A58" s="4"/>
      <c r="B58" s="4"/>
      <c r="C58" s="4"/>
      <c r="D58" s="8"/>
      <c r="E58" s="8"/>
      <c r="F58" s="75"/>
      <c r="G58" s="75"/>
      <c r="H58" s="75"/>
      <c r="I58" s="75"/>
      <c r="J58" s="75"/>
      <c r="K58" s="75"/>
      <c r="L58" s="75"/>
      <c r="M58" s="75"/>
      <c r="N58" s="75"/>
      <c r="O58" s="75"/>
      <c r="P58" s="75"/>
      <c r="Q58" s="75"/>
      <c r="R58" s="75"/>
      <c r="S58" s="202"/>
      <c r="T58" s="75"/>
      <c r="U58" s="75"/>
      <c r="V58" s="75"/>
      <c r="W58" s="8"/>
      <c r="X58" s="4"/>
      <c r="Y58" s="40"/>
      <c r="Z58" s="8"/>
      <c r="AA58" s="8"/>
      <c r="AB58" s="75"/>
      <c r="AC58" s="75"/>
      <c r="AD58" s="75"/>
      <c r="AE58" s="75"/>
      <c r="AF58" s="75"/>
      <c r="AG58" s="75"/>
      <c r="AH58" s="75"/>
      <c r="AI58" s="75"/>
      <c r="AJ58" s="75"/>
      <c r="AK58" s="75"/>
      <c r="AL58" s="75"/>
      <c r="AM58" s="75"/>
      <c r="AN58" s="75"/>
      <c r="AO58" s="202"/>
      <c r="AP58" s="75"/>
      <c r="AQ58" s="75"/>
      <c r="AR58" s="75"/>
      <c r="AS58" s="4"/>
      <c r="AT58" s="4"/>
      <c r="AU58" s="40"/>
      <c r="AV58" s="8"/>
      <c r="AW58" s="8"/>
      <c r="AX58" s="75"/>
      <c r="AY58" s="75"/>
      <c r="AZ58" s="75"/>
      <c r="BA58" s="75"/>
      <c r="BB58" s="75"/>
      <c r="BC58" s="75"/>
      <c r="BD58" s="75"/>
      <c r="BE58" s="75"/>
      <c r="BF58" s="75"/>
      <c r="BG58" s="75"/>
      <c r="BH58" s="75"/>
      <c r="BI58" s="75"/>
      <c r="BJ58" s="75"/>
      <c r="BK58" s="202"/>
      <c r="BL58" s="75"/>
      <c r="BM58" s="75"/>
      <c r="BN58" s="75"/>
    </row>
    <row r="59" ht="13.5" customHeight="1" hidden="1" spans="1:66" x14ac:dyDescent="0.25" outlineLevel="1" collapsed="1">
      <c r="A59" s="4"/>
      <c r="B59" s="4"/>
      <c r="C59" s="4"/>
      <c r="D59" s="636" t="str">
        <f>D18</f>
        <v>High</v>
      </c>
      <c r="E59" s="637"/>
      <c r="F59" s="638"/>
      <c r="G59" s="639" t="e">
        <f t="shared" ref="G59:V59" si="19">MAX(G53:G57)</f>
        <v>#NAME?</v>
      </c>
      <c r="H59" s="639" t="e">
        <f t="shared" si="19"/>
        <v>#NAME?</v>
      </c>
      <c r="I59" s="640" t="e">
        <f t="shared" si="19"/>
        <v>#NAME?</v>
      </c>
      <c r="J59" s="640">
        <f t="shared" si="19"/>
        <v>0.18068513558550392</v>
      </c>
      <c r="K59" s="640" t="e">
        <f t="shared" si="19"/>
        <v>#NAME?</v>
      </c>
      <c r="L59" s="640">
        <f t="shared" si="19"/>
        <v>4.264116896263368</v>
      </c>
      <c r="M59" s="640">
        <f t="shared" si="19"/>
        <v>0.300547</v>
      </c>
      <c r="N59" s="640">
        <f t="shared" si="19"/>
        <v>0.32956900162646596</v>
      </c>
      <c r="O59" s="640">
        <f t="shared" si="19"/>
        <v>0.439098</v>
      </c>
      <c r="P59" s="640">
        <f t="shared" si="19"/>
        <v>0.14040146703248643</v>
      </c>
      <c r="Q59" s="641">
        <f t="shared" si="19"/>
        <v>20.37937</v>
      </c>
      <c r="R59" s="642" t="e">
        <f t="shared" si="19"/>
        <v>#NAME?</v>
      </c>
      <c r="S59" s="642">
        <f t="shared" si="19"/>
        <v>5.57728</v>
      </c>
      <c r="T59" s="642" t="e">
        <f t="shared" si="19"/>
        <v>#NAME?</v>
      </c>
      <c r="U59" s="642">
        <f t="shared" si="19"/>
        <v>267.47033</v>
      </c>
      <c r="V59" s="643" t="e">
        <f t="shared" si="19"/>
        <v>#NAME?</v>
      </c>
      <c r="W59" s="8"/>
      <c r="X59" s="4"/>
      <c r="Y59" s="40"/>
      <c r="Z59" s="636" t="str">
        <f>Z18</f>
        <v>High</v>
      </c>
      <c r="AA59" s="637"/>
      <c r="AB59" s="638"/>
      <c r="AC59" s="639" t="e">
        <f t="shared" ref="AC59:AR59" si="20">MAX(AC53:AC57)</f>
        <v>#NAME?</v>
      </c>
      <c r="AD59" s="639" t="e">
        <f t="shared" si="20"/>
        <v>#NAME?</v>
      </c>
      <c r="AE59" s="640" t="e">
        <f t="shared" si="20"/>
        <v>#NAME?</v>
      </c>
      <c r="AF59" s="640" t="e">
        <f t="shared" si="20"/>
        <v>#VALUE!</v>
      </c>
      <c r="AG59" s="640" t="e">
        <f t="shared" si="20"/>
        <v>#NAME?</v>
      </c>
      <c r="AH59" s="640" t="e">
        <f t="shared" si="20"/>
        <v>#VALUE!</v>
      </c>
      <c r="AI59" s="640" t="e">
        <f t="shared" si="20"/>
        <v>#VALUE!</v>
      </c>
      <c r="AJ59" s="640" t="e">
        <f t="shared" si="20"/>
        <v>#VALUE!</v>
      </c>
      <c r="AK59" s="640" t="e">
        <f t="shared" si="20"/>
        <v>#VALUE!</v>
      </c>
      <c r="AL59" s="640" t="e">
        <f t="shared" si="20"/>
        <v>#VALUE!</v>
      </c>
      <c r="AM59" s="641">
        <f t="shared" si="20"/>
        <v>0</v>
      </c>
      <c r="AN59" s="642" t="e">
        <f t="shared" si="20"/>
        <v>#NAME?</v>
      </c>
      <c r="AO59" s="642">
        <f t="shared" si="20"/>
        <v>0</v>
      </c>
      <c r="AP59" s="642" t="e">
        <f t="shared" si="20"/>
        <v>#NAME?</v>
      </c>
      <c r="AQ59" s="642">
        <f t="shared" si="20"/>
        <v>0</v>
      </c>
      <c r="AR59" s="643" t="e">
        <f t="shared" si="20"/>
        <v>#NAME?</v>
      </c>
      <c r="AS59" s="4"/>
      <c r="AT59" s="4"/>
      <c r="AU59" s="40"/>
      <c r="AV59" s="636" t="str">
        <f>AV18</f>
        <v>High</v>
      </c>
      <c r="AW59" s="637"/>
      <c r="AX59" s="638"/>
      <c r="AY59" s="639" t="e">
        <f t="shared" ref="AY59:BN59" si="21">MAX(AY53:AY57)</f>
        <v>#NAME?</v>
      </c>
      <c r="AZ59" s="639" t="e">
        <f t="shared" si="21"/>
        <v>#NAME?</v>
      </c>
      <c r="BA59" s="640" t="e">
        <f t="shared" si="21"/>
        <v>#NAME?</v>
      </c>
      <c r="BB59" s="640" t="e">
        <f t="shared" si="21"/>
        <v>#VALUE!</v>
      </c>
      <c r="BC59" s="640" t="e">
        <f t="shared" si="21"/>
        <v>#NAME?</v>
      </c>
      <c r="BD59" s="640" t="e">
        <f t="shared" si="21"/>
        <v>#VALUE!</v>
      </c>
      <c r="BE59" s="640" t="e">
        <f t="shared" si="21"/>
        <v>#VALUE!</v>
      </c>
      <c r="BF59" s="640" t="e">
        <f t="shared" si="21"/>
        <v>#VALUE!</v>
      </c>
      <c r="BG59" s="640" t="e">
        <f t="shared" si="21"/>
        <v>#VALUE!</v>
      </c>
      <c r="BH59" s="640" t="e">
        <f t="shared" si="21"/>
        <v>#VALUE!</v>
      </c>
      <c r="BI59" s="641">
        <f t="shared" si="21"/>
        <v>0</v>
      </c>
      <c r="BJ59" s="642" t="e">
        <f t="shared" si="21"/>
        <v>#NAME?</v>
      </c>
      <c r="BK59" s="642">
        <f t="shared" si="21"/>
        <v>0</v>
      </c>
      <c r="BL59" s="642" t="e">
        <f t="shared" si="21"/>
        <v>#NAME?</v>
      </c>
      <c r="BM59" s="642">
        <f t="shared" si="21"/>
        <v>0</v>
      </c>
      <c r="BN59" s="643" t="e">
        <f t="shared" si="21"/>
        <v>#NAME?</v>
      </c>
    </row>
    <row r="60" ht="13.5" customHeight="1" hidden="1" spans="1:66" x14ac:dyDescent="0.25" outlineLevel="1" collapsed="1">
      <c r="A60" s="4"/>
      <c r="B60" s="4"/>
      <c r="C60" s="4"/>
      <c r="D60" s="644" t="str">
        <f>D19</f>
        <v>Mean</v>
      </c>
      <c r="E60" s="645"/>
      <c r="F60" s="646"/>
      <c r="G60" s="647" t="e">
        <f t="shared" ref="G60:V60" si="22">AVERAGE(G53:G57)</f>
        <v>#NAME?</v>
      </c>
      <c r="H60" s="647" t="e">
        <f t="shared" si="22"/>
        <v>#NAME?</v>
      </c>
      <c r="I60" s="648" t="e">
        <f t="shared" si="22"/>
        <v>#NAME?</v>
      </c>
      <c r="J60" s="648">
        <f t="shared" si="22"/>
        <v>0.02998215346154065</v>
      </c>
      <c r="K60" s="648" t="e">
        <f t="shared" si="22"/>
        <v>#NAME?</v>
      </c>
      <c r="L60" s="648">
        <f t="shared" si="22"/>
        <v>0.8674564822566243</v>
      </c>
      <c r="M60" s="648">
        <f t="shared" si="22"/>
        <v>0.23924700000000004</v>
      </c>
      <c r="N60" s="648">
        <f t="shared" si="22"/>
        <v>0.27233509367042114</v>
      </c>
      <c r="O60" s="648">
        <f t="shared" si="22"/>
        <v>0.1373354</v>
      </c>
      <c r="P60" s="648">
        <f t="shared" si="22"/>
        <v>0.08124722448238432</v>
      </c>
      <c r="Q60" s="649">
        <f t="shared" si="22"/>
        <v>15.973934000000003</v>
      </c>
      <c r="R60" s="650" t="e">
        <f t="shared" si="22"/>
        <v>#NAME?</v>
      </c>
      <c r="S60" s="650">
        <f t="shared" si="22"/>
        <v>4.117108</v>
      </c>
      <c r="T60" s="650" t="e">
        <f t="shared" si="22"/>
        <v>#NAME?</v>
      </c>
      <c r="U60" s="650">
        <f t="shared" si="22"/>
        <v>102.01735249999999</v>
      </c>
      <c r="V60" s="651" t="e">
        <f t="shared" si="22"/>
        <v>#NAME?</v>
      </c>
      <c r="W60" s="8"/>
      <c r="X60" s="4"/>
      <c r="Y60" s="40"/>
      <c r="Z60" s="644" t="str">
        <f>Z19</f>
        <v>Mean</v>
      </c>
      <c r="AA60" s="645"/>
      <c r="AB60" s="646"/>
      <c r="AC60" s="647" t="e">
        <f t="shared" ref="AC60:AR60" si="23">AVERAGE(AC53:AC57)</f>
        <v>#NAME?</v>
      </c>
      <c r="AD60" s="647" t="e">
        <f t="shared" si="23"/>
        <v>#NAME?</v>
      </c>
      <c r="AE60" s="648" t="e">
        <f t="shared" si="23"/>
        <v>#NAME?</v>
      </c>
      <c r="AF60" s="648" t="e">
        <f t="shared" si="23"/>
        <v>#VALUE!</v>
      </c>
      <c r="AG60" s="648" t="e">
        <f t="shared" si="23"/>
        <v>#NAME?</v>
      </c>
      <c r="AH60" s="648" t="e">
        <f t="shared" si="23"/>
        <v>#VALUE!</v>
      </c>
      <c r="AI60" s="648" t="e">
        <f t="shared" si="23"/>
        <v>#VALUE!</v>
      </c>
      <c r="AJ60" s="648" t="e">
        <f t="shared" si="23"/>
        <v>#VALUE!</v>
      </c>
      <c r="AK60" s="648" t="e">
        <f t="shared" si="23"/>
        <v>#VALUE!</v>
      </c>
      <c r="AL60" s="648" t="e">
        <f t="shared" si="23"/>
        <v>#VALUE!</v>
      </c>
      <c r="AM60" s="649" t="e">
        <f t="shared" si="23"/>
        <v>#DIV/0!</v>
      </c>
      <c r="AN60" s="650" t="e">
        <f t="shared" si="23"/>
        <v>#NAME?</v>
      </c>
      <c r="AO60" s="650" t="e">
        <f t="shared" si="23"/>
        <v>#DIV/0!</v>
      </c>
      <c r="AP60" s="650" t="e">
        <f t="shared" si="23"/>
        <v>#NAME?</v>
      </c>
      <c r="AQ60" s="650" t="e">
        <f t="shared" si="23"/>
        <v>#DIV/0!</v>
      </c>
      <c r="AR60" s="651" t="e">
        <f t="shared" si="23"/>
        <v>#NAME?</v>
      </c>
      <c r="AS60" s="4"/>
      <c r="AT60" s="4"/>
      <c r="AU60" s="40"/>
      <c r="AV60" s="644" t="str">
        <f>AV19</f>
        <v>Mean</v>
      </c>
      <c r="AW60" s="645"/>
      <c r="AX60" s="646"/>
      <c r="AY60" s="647" t="e">
        <f t="shared" ref="AY60:BN60" si="24">AVERAGE(AY53:AY57)</f>
        <v>#NAME?</v>
      </c>
      <c r="AZ60" s="647" t="e">
        <f t="shared" si="24"/>
        <v>#NAME?</v>
      </c>
      <c r="BA60" s="648" t="e">
        <f t="shared" si="24"/>
        <v>#NAME?</v>
      </c>
      <c r="BB60" s="648" t="e">
        <f t="shared" si="24"/>
        <v>#VALUE!</v>
      </c>
      <c r="BC60" s="648" t="e">
        <f t="shared" si="24"/>
        <v>#NAME?</v>
      </c>
      <c r="BD60" s="648" t="e">
        <f t="shared" si="24"/>
        <v>#VALUE!</v>
      </c>
      <c r="BE60" s="648" t="e">
        <f t="shared" si="24"/>
        <v>#VALUE!</v>
      </c>
      <c r="BF60" s="648" t="e">
        <f t="shared" si="24"/>
        <v>#VALUE!</v>
      </c>
      <c r="BG60" s="648" t="e">
        <f t="shared" si="24"/>
        <v>#VALUE!</v>
      </c>
      <c r="BH60" s="648" t="e">
        <f t="shared" si="24"/>
        <v>#VALUE!</v>
      </c>
      <c r="BI60" s="649" t="e">
        <f t="shared" si="24"/>
        <v>#DIV/0!</v>
      </c>
      <c r="BJ60" s="650" t="e">
        <f t="shared" si="24"/>
        <v>#NAME?</v>
      </c>
      <c r="BK60" s="650" t="e">
        <f t="shared" si="24"/>
        <v>#DIV/0!</v>
      </c>
      <c r="BL60" s="650" t="e">
        <f t="shared" si="24"/>
        <v>#NAME?</v>
      </c>
      <c r="BM60" s="650" t="e">
        <f t="shared" si="24"/>
        <v>#DIV/0!</v>
      </c>
      <c r="BN60" s="651" t="e">
        <f t="shared" si="24"/>
        <v>#NAME?</v>
      </c>
    </row>
    <row r="61" ht="13.5" customHeight="1" hidden="1" spans="1:66" x14ac:dyDescent="0.25" outlineLevel="1" collapsed="1">
      <c r="A61" s="4"/>
      <c r="B61" s="4"/>
      <c r="C61" s="4"/>
      <c r="D61" s="644" t="str">
        <f>D20</f>
        <v>Median</v>
      </c>
      <c r="E61" s="645"/>
      <c r="F61" s="645"/>
      <c r="G61" s="647" t="e">
        <f t="shared" ref="G61:V61" si="25">MEDIAN(G53:G57)</f>
        <v>#NAME?</v>
      </c>
      <c r="H61" s="647" t="e">
        <f t="shared" si="25"/>
        <v>#NAME?</v>
      </c>
      <c r="I61" s="648" t="e">
        <f t="shared" si="25"/>
        <v>#NAME?</v>
      </c>
      <c r="J61" s="648">
        <f t="shared" si="25"/>
        <v>0.051819927392477316</v>
      </c>
      <c r="K61" s="648" t="e">
        <f t="shared" si="25"/>
        <v>#NAME?</v>
      </c>
      <c r="L61" s="648">
        <f t="shared" si="25"/>
        <v>0.22575970149253743</v>
      </c>
      <c r="M61" s="648">
        <f t="shared" si="25"/>
        <v>0.228577</v>
      </c>
      <c r="N61" s="648">
        <f t="shared" si="25"/>
        <v>0.2995183852865738</v>
      </c>
      <c r="O61" s="648">
        <f t="shared" si="25"/>
        <v>0.066502</v>
      </c>
      <c r="P61" s="648">
        <f t="shared" si="25"/>
        <v>0.06504352284019128</v>
      </c>
      <c r="Q61" s="649">
        <f t="shared" si="25"/>
        <v>15.0202</v>
      </c>
      <c r="R61" s="650" t="e">
        <f t="shared" si="25"/>
        <v>#NAME?</v>
      </c>
      <c r="S61" s="650">
        <f t="shared" si="25"/>
        <v>4.25457</v>
      </c>
      <c r="T61" s="650" t="e">
        <f t="shared" si="25"/>
        <v>#NAME?</v>
      </c>
      <c r="U61" s="650">
        <f t="shared" si="25"/>
        <v>53.40178</v>
      </c>
      <c r="V61" s="651" t="e">
        <f t="shared" si="25"/>
        <v>#NAME?</v>
      </c>
      <c r="W61" s="8"/>
      <c r="X61" s="4"/>
      <c r="Y61" s="40"/>
      <c r="Z61" s="644" t="str">
        <f>Z20</f>
        <v>Median</v>
      </c>
      <c r="AA61" s="645"/>
      <c r="AB61" s="645"/>
      <c r="AC61" s="647" t="e">
        <f t="shared" ref="AC61:AR61" si="26">MEDIAN(AC53:AC57)</f>
        <v>#NAME?</v>
      </c>
      <c r="AD61" s="647" t="e">
        <f t="shared" si="26"/>
        <v>#NAME?</v>
      </c>
      <c r="AE61" s="648" t="e">
        <f t="shared" si="26"/>
        <v>#NAME?</v>
      </c>
      <c r="AF61" s="648" t="e">
        <f t="shared" si="26"/>
        <v>#VALUE!</v>
      </c>
      <c r="AG61" s="648" t="e">
        <f t="shared" si="26"/>
        <v>#NAME?</v>
      </c>
      <c r="AH61" s="648" t="e">
        <f t="shared" si="26"/>
        <v>#VALUE!</v>
      </c>
      <c r="AI61" s="648" t="e">
        <f t="shared" si="26"/>
        <v>#VALUE!</v>
      </c>
      <c r="AJ61" s="648" t="e">
        <f t="shared" si="26"/>
        <v>#VALUE!</v>
      </c>
      <c r="AK61" s="648" t="e">
        <f t="shared" si="26"/>
        <v>#VALUE!</v>
      </c>
      <c r="AL61" s="648" t="e">
        <f t="shared" si="26"/>
        <v>#VALUE!</v>
      </c>
      <c r="AM61" s="649" t="e">
        <f t="shared" si="26"/>
        <v>#NUM!</v>
      </c>
      <c r="AN61" s="650" t="e">
        <f t="shared" si="26"/>
        <v>#NAME?</v>
      </c>
      <c r="AO61" s="650" t="e">
        <f t="shared" si="26"/>
        <v>#NUM!</v>
      </c>
      <c r="AP61" s="650" t="e">
        <f t="shared" si="26"/>
        <v>#NAME?</v>
      </c>
      <c r="AQ61" s="650" t="e">
        <f t="shared" si="26"/>
        <v>#NUM!</v>
      </c>
      <c r="AR61" s="651" t="e">
        <f t="shared" si="26"/>
        <v>#NAME?</v>
      </c>
      <c r="AS61" s="4"/>
      <c r="AT61" s="4"/>
      <c r="AU61" s="40"/>
      <c r="AV61" s="644" t="str">
        <f>AV20</f>
        <v>Median</v>
      </c>
      <c r="AW61" s="645"/>
      <c r="AX61" s="645"/>
      <c r="AY61" s="647" t="e">
        <f t="shared" ref="AY61:BN61" si="27">MEDIAN(AY53:AY57)</f>
        <v>#NAME?</v>
      </c>
      <c r="AZ61" s="647" t="e">
        <f t="shared" si="27"/>
        <v>#NAME?</v>
      </c>
      <c r="BA61" s="648" t="e">
        <f t="shared" si="27"/>
        <v>#NAME?</v>
      </c>
      <c r="BB61" s="648" t="e">
        <f t="shared" si="27"/>
        <v>#VALUE!</v>
      </c>
      <c r="BC61" s="648" t="e">
        <f t="shared" si="27"/>
        <v>#NAME?</v>
      </c>
      <c r="BD61" s="648" t="e">
        <f t="shared" si="27"/>
        <v>#VALUE!</v>
      </c>
      <c r="BE61" s="648" t="e">
        <f t="shared" si="27"/>
        <v>#VALUE!</v>
      </c>
      <c r="BF61" s="648" t="e">
        <f t="shared" si="27"/>
        <v>#VALUE!</v>
      </c>
      <c r="BG61" s="648" t="e">
        <f t="shared" si="27"/>
        <v>#VALUE!</v>
      </c>
      <c r="BH61" s="648" t="e">
        <f t="shared" si="27"/>
        <v>#VALUE!</v>
      </c>
      <c r="BI61" s="649" t="e">
        <f t="shared" si="27"/>
        <v>#NUM!</v>
      </c>
      <c r="BJ61" s="650" t="e">
        <f t="shared" si="27"/>
        <v>#NAME?</v>
      </c>
      <c r="BK61" s="650" t="e">
        <f t="shared" si="27"/>
        <v>#NUM!</v>
      </c>
      <c r="BL61" s="650" t="e">
        <f t="shared" si="27"/>
        <v>#NAME?</v>
      </c>
      <c r="BM61" s="650" t="e">
        <f t="shared" si="27"/>
        <v>#NUM!</v>
      </c>
      <c r="BN61" s="651" t="e">
        <f t="shared" si="27"/>
        <v>#NAME?</v>
      </c>
    </row>
    <row r="62" ht="13.5" customHeight="1" hidden="1" spans="1:66" x14ac:dyDescent="0.25" outlineLevel="1" collapsed="1">
      <c r="A62" s="4"/>
      <c r="B62" s="4"/>
      <c r="C62" s="4"/>
      <c r="D62" s="652" t="str">
        <f>D21</f>
        <v>Low</v>
      </c>
      <c r="E62" s="653"/>
      <c r="F62" s="653"/>
      <c r="G62" s="654" t="e">
        <f t="shared" ref="G62:V62" si="28">MIN(G53:G57)</f>
        <v>#NAME?</v>
      </c>
      <c r="H62" s="654" t="e">
        <f t="shared" si="28"/>
        <v>#NAME?</v>
      </c>
      <c r="I62" s="655" t="e">
        <f t="shared" si="28"/>
        <v>#NAME?</v>
      </c>
      <c r="J62" s="655">
        <f t="shared" si="28"/>
        <v>-0.16099673619944033</v>
      </c>
      <c r="K62" s="655" t="e">
        <f t="shared" si="28"/>
        <v>#NAME?</v>
      </c>
      <c r="L62" s="655">
        <f t="shared" si="28"/>
        <v>-1.2808834758523873</v>
      </c>
      <c r="M62" s="655">
        <f t="shared" si="28"/>
        <v>0.18452300000000002</v>
      </c>
      <c r="N62" s="655">
        <f t="shared" si="28"/>
        <v>0.19432895832942157</v>
      </c>
      <c r="O62" s="655">
        <f t="shared" si="28"/>
        <v>0.008498</v>
      </c>
      <c r="P62" s="655">
        <f t="shared" si="28"/>
        <v>0.03474699871835844</v>
      </c>
      <c r="Q62" s="656">
        <f t="shared" si="28"/>
        <v>11.48395</v>
      </c>
      <c r="R62" s="657" t="e">
        <f t="shared" si="28"/>
        <v>#NAME?</v>
      </c>
      <c r="S62" s="657">
        <f t="shared" si="28"/>
        <v>2.73564</v>
      </c>
      <c r="T62" s="657" t="e">
        <f t="shared" si="28"/>
        <v>#NAME?</v>
      </c>
      <c r="U62" s="657">
        <f t="shared" si="28"/>
        <v>33.79552</v>
      </c>
      <c r="V62" s="658" t="e">
        <f t="shared" si="28"/>
        <v>#NAME?</v>
      </c>
      <c r="W62" s="8"/>
      <c r="X62" s="4"/>
      <c r="Y62" s="40"/>
      <c r="Z62" s="652" t="str">
        <f>Z21</f>
        <v>Low</v>
      </c>
      <c r="AA62" s="653"/>
      <c r="AB62" s="653"/>
      <c r="AC62" s="654" t="e">
        <f t="shared" ref="AC62:AR62" si="29">MIN(AC53:AC57)</f>
        <v>#NAME?</v>
      </c>
      <c r="AD62" s="654" t="e">
        <f t="shared" si="29"/>
        <v>#NAME?</v>
      </c>
      <c r="AE62" s="655" t="e">
        <f t="shared" si="29"/>
        <v>#NAME?</v>
      </c>
      <c r="AF62" s="655" t="e">
        <f t="shared" si="29"/>
        <v>#VALUE!</v>
      </c>
      <c r="AG62" s="655" t="e">
        <f t="shared" si="29"/>
        <v>#NAME?</v>
      </c>
      <c r="AH62" s="655" t="e">
        <f t="shared" si="29"/>
        <v>#VALUE!</v>
      </c>
      <c r="AI62" s="655" t="e">
        <f t="shared" si="29"/>
        <v>#VALUE!</v>
      </c>
      <c r="AJ62" s="655" t="e">
        <f t="shared" si="29"/>
        <v>#VALUE!</v>
      </c>
      <c r="AK62" s="655" t="e">
        <f t="shared" si="29"/>
        <v>#VALUE!</v>
      </c>
      <c r="AL62" s="655" t="e">
        <f t="shared" si="29"/>
        <v>#VALUE!</v>
      </c>
      <c r="AM62" s="656">
        <f t="shared" si="29"/>
        <v>0</v>
      </c>
      <c r="AN62" s="657" t="e">
        <f t="shared" si="29"/>
        <v>#NAME?</v>
      </c>
      <c r="AO62" s="657">
        <f t="shared" si="29"/>
        <v>0</v>
      </c>
      <c r="AP62" s="657" t="e">
        <f t="shared" si="29"/>
        <v>#NAME?</v>
      </c>
      <c r="AQ62" s="657">
        <f t="shared" si="29"/>
        <v>0</v>
      </c>
      <c r="AR62" s="658" t="e">
        <f t="shared" si="29"/>
        <v>#NAME?</v>
      </c>
      <c r="AS62" s="4"/>
      <c r="AT62" s="4"/>
      <c r="AU62" s="40"/>
      <c r="AV62" s="652" t="str">
        <f>AV21</f>
        <v>Low</v>
      </c>
      <c r="AW62" s="653"/>
      <c r="AX62" s="653"/>
      <c r="AY62" s="654" t="e">
        <f t="shared" ref="AY62:BN62" si="30">MIN(AY53:AY57)</f>
        <v>#NAME?</v>
      </c>
      <c r="AZ62" s="654" t="e">
        <f t="shared" si="30"/>
        <v>#NAME?</v>
      </c>
      <c r="BA62" s="655" t="e">
        <f t="shared" si="30"/>
        <v>#NAME?</v>
      </c>
      <c r="BB62" s="655" t="e">
        <f t="shared" si="30"/>
        <v>#VALUE!</v>
      </c>
      <c r="BC62" s="655" t="e">
        <f t="shared" si="30"/>
        <v>#NAME?</v>
      </c>
      <c r="BD62" s="655" t="e">
        <f t="shared" si="30"/>
        <v>#VALUE!</v>
      </c>
      <c r="BE62" s="655" t="e">
        <f t="shared" si="30"/>
        <v>#VALUE!</v>
      </c>
      <c r="BF62" s="655" t="e">
        <f t="shared" si="30"/>
        <v>#VALUE!</v>
      </c>
      <c r="BG62" s="655" t="e">
        <f t="shared" si="30"/>
        <v>#VALUE!</v>
      </c>
      <c r="BH62" s="655" t="e">
        <f t="shared" si="30"/>
        <v>#VALUE!</v>
      </c>
      <c r="BI62" s="656">
        <f t="shared" si="30"/>
        <v>0</v>
      </c>
      <c r="BJ62" s="657" t="e">
        <f t="shared" si="30"/>
        <v>#NAME?</v>
      </c>
      <c r="BK62" s="657">
        <f t="shared" si="30"/>
        <v>0</v>
      </c>
      <c r="BL62" s="657" t="e">
        <f t="shared" si="30"/>
        <v>#NAME?</v>
      </c>
      <c r="BM62" s="657">
        <f t="shared" si="30"/>
        <v>0</v>
      </c>
      <c r="BN62" s="658" t="e">
        <f t="shared" si="30"/>
        <v>#NAME?</v>
      </c>
    </row>
    <row r="63" ht="13.5" customHeight="1" hidden="1" spans="1:66" x14ac:dyDescent="0.25" outlineLevel="1" collapsed="1">
      <c r="A63" s="4"/>
      <c r="B63" s="40"/>
      <c r="C63" s="40"/>
      <c r="D63" s="8"/>
      <c r="E63" s="8"/>
      <c r="F63" s="8"/>
      <c r="G63" s="8"/>
      <c r="H63" s="8"/>
      <c r="I63" s="8"/>
      <c r="J63" s="8"/>
      <c r="K63" s="8"/>
      <c r="L63" s="8"/>
      <c r="M63" s="8"/>
      <c r="N63" s="8"/>
      <c r="O63" s="8"/>
      <c r="P63" s="8"/>
      <c r="Q63" s="8"/>
      <c r="R63" s="8"/>
      <c r="S63" s="8"/>
      <c r="T63" s="8"/>
      <c r="U63" s="8"/>
      <c r="V63" s="8"/>
      <c r="W63" s="8"/>
      <c r="X63" s="4"/>
      <c r="Y63" s="40"/>
      <c r="Z63" s="8"/>
      <c r="AA63" s="8"/>
      <c r="AB63" s="8"/>
      <c r="AC63" s="8"/>
      <c r="AD63" s="8"/>
      <c r="AE63" s="8"/>
      <c r="AF63" s="8"/>
      <c r="AG63" s="8"/>
      <c r="AH63" s="8"/>
      <c r="AI63" s="8"/>
      <c r="AJ63" s="8"/>
      <c r="AK63" s="8"/>
      <c r="AL63" s="8"/>
      <c r="AM63" s="8"/>
      <c r="AN63" s="8"/>
      <c r="AO63" s="8"/>
      <c r="AP63" s="8"/>
      <c r="AQ63" s="8"/>
      <c r="AR63" s="8"/>
      <c r="AS63" s="4"/>
      <c r="AT63" s="4"/>
      <c r="AU63" s="40"/>
      <c r="AV63" s="8"/>
      <c r="AW63" s="8"/>
      <c r="AX63" s="8"/>
      <c r="AY63" s="8"/>
      <c r="AZ63" s="8"/>
      <c r="BA63" s="8"/>
      <c r="BB63" s="8"/>
      <c r="BC63" s="8"/>
      <c r="BD63" s="8"/>
      <c r="BE63" s="8"/>
      <c r="BF63" s="8"/>
      <c r="BG63" s="8"/>
      <c r="BH63" s="8"/>
      <c r="BI63" s="8"/>
      <c r="BJ63" s="8"/>
      <c r="BK63" s="8"/>
      <c r="BL63" s="8"/>
      <c r="BM63" s="8"/>
      <c r="BN63" s="8"/>
    </row>
    <row r="64" ht="13.5" customHeight="1" hidden="1" spans="1:66" x14ac:dyDescent="0.25" outlineLevel="1" collapsed="1">
      <c r="A64" s="4"/>
      <c r="B64" s="40"/>
      <c r="C64" s="40"/>
      <c r="D64" s="626"/>
      <c r="E64" s="626"/>
      <c r="F64" s="40"/>
      <c r="G64" s="191"/>
      <c r="H64" s="191"/>
      <c r="I64" s="191"/>
      <c r="J64" s="191"/>
      <c r="K64" s="191"/>
      <c r="L64" s="191"/>
      <c r="M64" s="191"/>
      <c r="N64" s="191"/>
      <c r="O64" s="191"/>
      <c r="P64" s="191"/>
      <c r="Q64" s="191"/>
      <c r="R64" s="191"/>
      <c r="S64" s="191"/>
      <c r="T64" s="191"/>
      <c r="U64" s="191"/>
      <c r="V64" s="191"/>
      <c r="W64" s="8"/>
      <c r="X64" s="4"/>
      <c r="Y64" s="40"/>
      <c r="Z64" s="626"/>
      <c r="AA64" s="626"/>
      <c r="AB64" s="40"/>
      <c r="AC64" s="191"/>
      <c r="AD64" s="191"/>
      <c r="AE64" s="191"/>
      <c r="AF64" s="191"/>
      <c r="AG64" s="191"/>
      <c r="AH64" s="191"/>
      <c r="AI64" s="191"/>
      <c r="AJ64" s="191"/>
      <c r="AK64" s="191"/>
      <c r="AL64" s="191"/>
      <c r="AM64" s="191"/>
      <c r="AN64" s="191"/>
      <c r="AO64" s="191"/>
      <c r="AP64" s="191"/>
      <c r="AQ64" s="191"/>
      <c r="AR64" s="191"/>
      <c r="AS64" s="4"/>
      <c r="AT64" s="4"/>
      <c r="AU64" s="40"/>
      <c r="AV64" s="626"/>
      <c r="AW64" s="626"/>
      <c r="AX64" s="40"/>
      <c r="AY64" s="191"/>
      <c r="AZ64" s="191"/>
      <c r="BA64" s="191"/>
      <c r="BB64" s="191"/>
      <c r="BC64" s="191"/>
      <c r="BD64" s="191"/>
      <c r="BE64" s="191"/>
      <c r="BF64" s="191"/>
      <c r="BG64" s="191"/>
      <c r="BH64" s="191"/>
      <c r="BI64" s="191"/>
      <c r="BJ64" s="191"/>
      <c r="BK64" s="191"/>
      <c r="BL64" s="191"/>
      <c r="BM64" s="191"/>
      <c r="BN64" s="191"/>
    </row>
    <row r="65" ht="13.5" customHeight="1" hidden="1" spans="1:66" x14ac:dyDescent="0.25" outlineLevel="1" collapsed="1">
      <c r="A65" s="4"/>
      <c r="B65" s="40"/>
      <c r="C65" s="40"/>
      <c r="D65" s="561" t="str">
        <f>D23</f>
        <v>Company</v>
      </c>
      <c r="E65" s="57"/>
      <c r="F65" s="57"/>
      <c r="G65" s="561" t="str">
        <f>G23</f>
        <v>General Statistics</v>
      </c>
      <c r="H65" s="57"/>
      <c r="I65" s="57"/>
      <c r="J65" s="561" t="str">
        <f>J23</f>
        <v>Returns Analysis</v>
      </c>
      <c r="K65" s="57"/>
      <c r="L65" s="57"/>
      <c r="M65" s="561" t="str">
        <f>M23</f>
        <v>2025A Leverage Analysis</v>
      </c>
      <c r="N65" s="57"/>
      <c r="O65" s="57"/>
      <c r="P65" s="561" t="str">
        <f>P23</f>
        <v>2025A Coverage Analysis</v>
      </c>
      <c r="Q65" s="57"/>
      <c r="R65" s="57"/>
      <c r="S65" s="561" t="str">
        <f>S23</f>
        <v>Liquidity Profile</v>
      </c>
      <c r="T65" s="57"/>
      <c r="U65" s="561" t="str">
        <f>U23</f>
        <v>Credit Profile</v>
      </c>
      <c r="V65" s="57"/>
      <c r="W65" s="8"/>
      <c r="X65" s="4"/>
      <c r="Y65" s="40"/>
      <c r="Z65" s="561" t="str">
        <f>Z23</f>
        <v>Company</v>
      </c>
      <c r="AA65" s="57"/>
      <c r="AB65" s="57"/>
      <c r="AC65" s="561" t="str">
        <f>AC23</f>
        <v>General Statistics</v>
      </c>
      <c r="AD65" s="57"/>
      <c r="AE65" s="57"/>
      <c r="AF65" s="561" t="str">
        <f>AF23</f>
        <v>Returns Analysis</v>
      </c>
      <c r="AG65" s="57"/>
      <c r="AH65" s="57"/>
      <c r="AI65" s="561" t="str">
        <f>AI23</f>
        <v>2025A Leverage Analysis</v>
      </c>
      <c r="AJ65" s="57"/>
      <c r="AK65" s="57"/>
      <c r="AL65" s="561" t="str">
        <f>AL23</f>
        <v>2025A Coverage Analysis</v>
      </c>
      <c r="AM65" s="57"/>
      <c r="AN65" s="57"/>
      <c r="AO65" s="561" t="str">
        <f>AO23</f>
        <v>Liquidity Profile</v>
      </c>
      <c r="AP65" s="57"/>
      <c r="AQ65" s="561" t="str">
        <f>AQ23</f>
        <v>Credit Profile</v>
      </c>
      <c r="AR65" s="57"/>
      <c r="AS65" s="4"/>
      <c r="AT65" s="4"/>
      <c r="AU65" s="40"/>
      <c r="AV65" s="561" t="str">
        <f>AV23</f>
        <v>Company</v>
      </c>
      <c r="AW65" s="57"/>
      <c r="AX65" s="57"/>
      <c r="AY65" s="561" t="str">
        <f>AY23</f>
        <v>General Statistics</v>
      </c>
      <c r="AZ65" s="57"/>
      <c r="BA65" s="57"/>
      <c r="BB65" s="561" t="str">
        <f>BB23</f>
        <v>Returns Analysis</v>
      </c>
      <c r="BC65" s="57"/>
      <c r="BD65" s="57"/>
      <c r="BE65" s="561" t="str">
        <f>BE23</f>
        <v>2025A Leverage Analysis</v>
      </c>
      <c r="BF65" s="57"/>
      <c r="BG65" s="57"/>
      <c r="BH65" s="561" t="str">
        <f>BH23</f>
        <v>2025A Coverage Analysis</v>
      </c>
      <c r="BI65" s="57"/>
      <c r="BJ65" s="57"/>
      <c r="BK65" s="561" t="str">
        <f>BK23</f>
        <v>Liquidity Profile</v>
      </c>
      <c r="BL65" s="57"/>
      <c r="BM65" s="561" t="str">
        <f>BM23</f>
        <v>Credit Profile</v>
      </c>
      <c r="BN65" s="57"/>
    </row>
    <row r="66" ht="13.5" customHeight="1" hidden="1" spans="1:66" x14ac:dyDescent="0.25" outlineLevel="1" collapsed="1">
      <c r="A66" s="4"/>
      <c r="B66" s="40"/>
      <c r="C66" s="40"/>
      <c r="D66" s="8"/>
      <c r="E66" s="8"/>
      <c r="F66" s="8"/>
      <c r="G66" s="8"/>
      <c r="H66" s="8"/>
      <c r="I66" s="8"/>
      <c r="J66" s="8"/>
      <c r="K66" s="8"/>
      <c r="L66" s="8"/>
      <c r="M66" s="561" t="str">
        <f>M24</f>
        <v>Total Debt / </v>
      </c>
      <c r="N66" s="57"/>
      <c r="O66" s="57"/>
      <c r="P66" s="8"/>
      <c r="Q66" s="8"/>
      <c r="R66" s="8"/>
      <c r="S66" s="8"/>
      <c r="T66" s="8"/>
      <c r="U66" s="8"/>
      <c r="V66" s="8"/>
      <c r="W66" s="8"/>
      <c r="X66" s="4"/>
      <c r="Y66" s="40"/>
      <c r="Z66" s="8"/>
      <c r="AA66" s="8"/>
      <c r="AB66" s="8"/>
      <c r="AC66" s="8"/>
      <c r="AD66" s="8"/>
      <c r="AE66" s="8"/>
      <c r="AF66" s="8"/>
      <c r="AG66" s="8"/>
      <c r="AH66" s="8"/>
      <c r="AI66" s="561" t="str">
        <f>AI24</f>
        <v>Total Debt / </v>
      </c>
      <c r="AJ66" s="57"/>
      <c r="AK66" s="57"/>
      <c r="AL66" s="8"/>
      <c r="AM66" s="8"/>
      <c r="AN66" s="8"/>
      <c r="AO66" s="8"/>
      <c r="AP66" s="8"/>
      <c r="AQ66" s="8"/>
      <c r="AR66" s="8"/>
      <c r="AS66" s="4"/>
      <c r="AT66" s="4"/>
      <c r="AU66" s="40"/>
      <c r="AV66" s="8"/>
      <c r="AW66" s="8"/>
      <c r="AX66" s="8"/>
      <c r="AY66" s="8"/>
      <c r="AZ66" s="8"/>
      <c r="BA66" s="8"/>
      <c r="BB66" s="8"/>
      <c r="BC66" s="8"/>
      <c r="BD66" s="8"/>
      <c r="BE66" s="561" t="str">
        <f>BE24</f>
        <v>Total Debt / </v>
      </c>
      <c r="BF66" s="57"/>
      <c r="BG66" s="57"/>
      <c r="BH66" s="8"/>
      <c r="BI66" s="8"/>
      <c r="BJ66" s="8"/>
      <c r="BK66" s="8"/>
      <c r="BL66" s="8"/>
      <c r="BM66" s="8"/>
      <c r="BN66" s="8"/>
    </row>
    <row r="67" ht="13.5" customHeight="1" hidden="1" spans="1:66" x14ac:dyDescent="0.25" outlineLevel="1" collapsed="1">
      <c r="A67" s="4"/>
      <c r="B67" s="40"/>
      <c r="C67" s="40"/>
      <c r="D67" s="75"/>
      <c r="E67" s="75"/>
      <c r="F67" s="75"/>
      <c r="G67" s="75"/>
      <c r="H67" s="75"/>
      <c r="I67" s="75" t="str">
        <f>I25</f>
        <v>Dividend</v>
      </c>
      <c r="J67" s="75"/>
      <c r="K67" s="75"/>
      <c r="L67" s="75"/>
      <c r="M67" s="75"/>
      <c r="N67" s="75"/>
      <c r="O67" s="75"/>
      <c r="P67" s="75" t="str">
        <f>P25</f>
        <v>EBITDA / </v>
      </c>
      <c r="Q67" s="75" t="str">
        <f>Q25</f>
        <v>(EBITDA -</v>
      </c>
      <c r="R67" s="75" t="str">
        <f>R25</f>
        <v>EBIT / </v>
      </c>
      <c r="S67" s="75" t="str">
        <f>S25</f>
        <v>Quick</v>
      </c>
      <c r="T67" s="75" t="str">
        <f>T25</f>
        <v>Current</v>
      </c>
      <c r="U67" s="75"/>
      <c r="V67" s="75"/>
      <c r="W67" s="8"/>
      <c r="X67" s="4"/>
      <c r="Y67" s="40"/>
      <c r="Z67" s="75"/>
      <c r="AA67" s="75"/>
      <c r="AB67" s="75"/>
      <c r="AC67" s="75"/>
      <c r="AD67" s="75"/>
      <c r="AE67" s="75" t="str">
        <f>AE25</f>
        <v>Dividend</v>
      </c>
      <c r="AF67" s="75"/>
      <c r="AG67" s="75"/>
      <c r="AH67" s="75"/>
      <c r="AI67" s="75"/>
      <c r="AJ67" s="75"/>
      <c r="AK67" s="75"/>
      <c r="AL67" s="75" t="str">
        <f>AL25</f>
        <v>EBITDA / </v>
      </c>
      <c r="AM67" s="75" t="str">
        <f>AM25</f>
        <v>(EBITDA -</v>
      </c>
      <c r="AN67" s="75" t="str">
        <f>AN25</f>
        <v>EBIT / </v>
      </c>
      <c r="AO67" s="75" t="str">
        <f>AO25</f>
        <v>Quick</v>
      </c>
      <c r="AP67" s="75" t="str">
        <f>AP25</f>
        <v>Current</v>
      </c>
      <c r="AQ67" s="75"/>
      <c r="AR67" s="75"/>
      <c r="AS67" s="4"/>
      <c r="AT67" s="4"/>
      <c r="AU67" s="40"/>
      <c r="AV67" s="75"/>
      <c r="AW67" s="75"/>
      <c r="AX67" s="75"/>
      <c r="AY67" s="75"/>
      <c r="AZ67" s="75"/>
      <c r="BA67" s="75" t="str">
        <f>BA25</f>
        <v>Dividend</v>
      </c>
      <c r="BB67" s="75"/>
      <c r="BC67" s="75"/>
      <c r="BD67" s="75"/>
      <c r="BE67" s="75"/>
      <c r="BF67" s="75"/>
      <c r="BG67" s="75"/>
      <c r="BH67" s="75" t="str">
        <f>BH25</f>
        <v>EBITDA / </v>
      </c>
      <c r="BI67" s="75" t="str">
        <f>BI25</f>
        <v>(EBITDA -</v>
      </c>
      <c r="BJ67" s="75" t="str">
        <f>BJ25</f>
        <v>EBIT / </v>
      </c>
      <c r="BK67" s="75" t="str">
        <f>BK25</f>
        <v>Quick</v>
      </c>
      <c r="BL67" s="75" t="str">
        <f>BL25</f>
        <v>Current</v>
      </c>
      <c r="BM67" s="75"/>
      <c r="BN67" s="75"/>
    </row>
    <row r="68" ht="13.5" customHeight="1" hidden="1" spans="1:66" x14ac:dyDescent="0.25" outlineLevel="1" collapsed="1">
      <c r="A68" s="4"/>
      <c r="B68" s="40"/>
      <c r="C68" s="40"/>
      <c r="D68" s="130"/>
      <c r="E68" s="75"/>
      <c r="F68" s="561" t="str">
        <f t="shared" ref="F68:T68" si="31">F26</f>
        <v>Ticker</v>
      </c>
      <c r="G68" s="561" t="str">
        <f t="shared" si="31"/>
        <v>Tax Rate</v>
      </c>
      <c r="H68" s="561" t="str">
        <f t="shared" si="31"/>
        <v>Beta</v>
      </c>
      <c r="I68" s="561" t="str">
        <f t="shared" si="31"/>
        <v>Yield</v>
      </c>
      <c r="J68" s="561" t="str">
        <f t="shared" si="31"/>
        <v>ROIC</v>
      </c>
      <c r="K68" s="561" t="str">
        <f t="shared" si="31"/>
        <v>ROE </v>
      </c>
      <c r="L68" s="561" t="str">
        <f t="shared" si="31"/>
        <v>ROA</v>
      </c>
      <c r="M68" s="561" t="str">
        <f t="shared" si="31"/>
        <v>Cap</v>
      </c>
      <c r="N68" s="561" t="str">
        <f t="shared" si="31"/>
        <v>EBITDA</v>
      </c>
      <c r="O68" s="561" t="str">
        <f t="shared" si="31"/>
        <v>Equity</v>
      </c>
      <c r="P68" s="561" t="str">
        <f t="shared" si="31"/>
        <v>Int. Exp.</v>
      </c>
      <c r="Q68" s="561" t="str">
        <f t="shared" si="31"/>
        <v>Capex)/Int.</v>
      </c>
      <c r="R68" s="561" t="str">
        <f t="shared" si="31"/>
        <v>Int. Exp.</v>
      </c>
      <c r="S68" s="561" t="str">
        <f t="shared" si="31"/>
        <v>Ratio</v>
      </c>
      <c r="T68" s="561" t="str">
        <f t="shared" si="31"/>
        <v>Ratio</v>
      </c>
      <c r="U68" s="561" t="s">
        <v>650</v>
      </c>
      <c r="V68" s="561" t="s">
        <v>651</v>
      </c>
      <c r="W68" s="8"/>
      <c r="X68" s="4"/>
      <c r="Y68" s="40"/>
      <c r="Z68" s="130"/>
      <c r="AA68" s="75"/>
      <c r="AB68" s="561" t="str">
        <f t="shared" ref="AB68:AR68" si="32">AB26</f>
        <v>Ticker</v>
      </c>
      <c r="AC68" s="561" t="str">
        <f t="shared" si="32"/>
        <v>Tax Rate</v>
      </c>
      <c r="AD68" s="561" t="str">
        <f t="shared" si="32"/>
        <v>Beta</v>
      </c>
      <c r="AE68" s="561" t="str">
        <f t="shared" si="32"/>
        <v>Yield</v>
      </c>
      <c r="AF68" s="561" t="str">
        <f t="shared" si="32"/>
        <v>ROIC</v>
      </c>
      <c r="AG68" s="561" t="str">
        <f t="shared" si="32"/>
        <v>ROE </v>
      </c>
      <c r="AH68" s="561" t="str">
        <f t="shared" si="32"/>
        <v>ROA</v>
      </c>
      <c r="AI68" s="561" t="str">
        <f t="shared" si="32"/>
        <v>Cap</v>
      </c>
      <c r="AJ68" s="561" t="str">
        <f t="shared" si="32"/>
        <v>EBITDA</v>
      </c>
      <c r="AK68" s="561" t="str">
        <f t="shared" si="32"/>
        <v>Equity</v>
      </c>
      <c r="AL68" s="561" t="str">
        <f t="shared" si="32"/>
        <v>Int. Exp.</v>
      </c>
      <c r="AM68" s="561" t="str">
        <f t="shared" si="32"/>
        <v>Capex)/Int.</v>
      </c>
      <c r="AN68" s="561" t="str">
        <f t="shared" si="32"/>
        <v>Int. Exp.</v>
      </c>
      <c r="AO68" s="561" t="str">
        <f t="shared" si="32"/>
        <v>Ratio</v>
      </c>
      <c r="AP68" s="561" t="str">
        <f t="shared" si="32"/>
        <v>Ratio</v>
      </c>
      <c r="AQ68" s="561" t="str">
        <f t="shared" si="32"/>
        <v>S&amp;P</v>
      </c>
      <c r="AR68" s="561" t="str">
        <f t="shared" si="32"/>
        <v>Outlook</v>
      </c>
      <c r="AS68" s="4"/>
      <c r="AT68" s="4"/>
      <c r="AU68" s="40"/>
      <c r="AV68" s="130"/>
      <c r="AW68" s="75"/>
      <c r="AX68" s="561" t="str">
        <f t="shared" ref="AX68:BN68" si="33">AX26</f>
        <v>Ticker</v>
      </c>
      <c r="AY68" s="561" t="str">
        <f t="shared" si="33"/>
        <v>Tax Rate</v>
      </c>
      <c r="AZ68" s="561" t="str">
        <f t="shared" si="33"/>
        <v>Beta</v>
      </c>
      <c r="BA68" s="561" t="str">
        <f t="shared" si="33"/>
        <v>Yield</v>
      </c>
      <c r="BB68" s="561" t="str">
        <f t="shared" si="33"/>
        <v>ROIC</v>
      </c>
      <c r="BC68" s="561" t="str">
        <f t="shared" si="33"/>
        <v>ROE </v>
      </c>
      <c r="BD68" s="561" t="str">
        <f t="shared" si="33"/>
        <v>ROA</v>
      </c>
      <c r="BE68" s="561" t="str">
        <f t="shared" si="33"/>
        <v>Cap</v>
      </c>
      <c r="BF68" s="561" t="str">
        <f t="shared" si="33"/>
        <v>EBITDA</v>
      </c>
      <c r="BG68" s="561" t="str">
        <f t="shared" si="33"/>
        <v>Equity</v>
      </c>
      <c r="BH68" s="561" t="str">
        <f t="shared" si="33"/>
        <v>Int. Exp.</v>
      </c>
      <c r="BI68" s="561" t="str">
        <f t="shared" si="33"/>
        <v>Capex)/Int.</v>
      </c>
      <c r="BJ68" s="561" t="str">
        <f t="shared" si="33"/>
        <v>Int. Exp.</v>
      </c>
      <c r="BK68" s="561" t="str">
        <f t="shared" si="33"/>
        <v>Ratio</v>
      </c>
      <c r="BL68" s="561" t="str">
        <f t="shared" si="33"/>
        <v>Ratio</v>
      </c>
      <c r="BM68" s="561" t="str">
        <f t="shared" si="33"/>
        <v>S&amp;P</v>
      </c>
      <c r="BN68" s="561" t="str">
        <f t="shared" si="33"/>
        <v>Outlook</v>
      </c>
    </row>
    <row r="69" ht="4.5" customHeight="1" hidden="1" spans="1:66" x14ac:dyDescent="0.25" outlineLevel="1" collapsed="1">
      <c r="A69" s="4"/>
      <c r="B69" s="40"/>
      <c r="C69" s="40"/>
      <c r="D69" s="75"/>
      <c r="E69" s="75"/>
      <c r="F69" s="75"/>
      <c r="G69" s="75"/>
      <c r="H69" s="75"/>
      <c r="I69" s="563"/>
      <c r="J69" s="75"/>
      <c r="K69" s="75"/>
      <c r="L69" s="75"/>
      <c r="M69" s="75"/>
      <c r="N69" s="75"/>
      <c r="O69" s="75"/>
      <c r="P69" s="75"/>
      <c r="Q69" s="75"/>
      <c r="R69" s="75"/>
      <c r="S69" s="75"/>
      <c r="T69" s="75"/>
      <c r="U69" s="75"/>
      <c r="V69" s="75"/>
      <c r="W69" s="8"/>
      <c r="X69" s="4"/>
      <c r="Y69" s="40"/>
      <c r="Z69" s="75"/>
      <c r="AA69" s="75"/>
      <c r="AB69" s="75"/>
      <c r="AC69" s="75"/>
      <c r="AD69" s="75"/>
      <c r="AE69" s="563"/>
      <c r="AF69" s="75"/>
      <c r="AG69" s="75"/>
      <c r="AH69" s="75"/>
      <c r="AI69" s="75"/>
      <c r="AJ69" s="75"/>
      <c r="AK69" s="75"/>
      <c r="AL69" s="75"/>
      <c r="AM69" s="75"/>
      <c r="AN69" s="75"/>
      <c r="AO69" s="75"/>
      <c r="AP69" s="75"/>
      <c r="AQ69" s="75"/>
      <c r="AR69" s="75"/>
      <c r="AS69" s="4"/>
      <c r="AT69" s="4"/>
      <c r="AU69" s="40"/>
      <c r="AV69" s="75"/>
      <c r="AW69" s="75"/>
      <c r="AX69" s="75"/>
      <c r="AY69" s="75"/>
      <c r="AZ69" s="75"/>
      <c r="BA69" s="563"/>
      <c r="BB69" s="75"/>
      <c r="BC69" s="75"/>
      <c r="BD69" s="75"/>
      <c r="BE69" s="75"/>
      <c r="BF69" s="75"/>
      <c r="BG69" s="75"/>
      <c r="BH69" s="75"/>
      <c r="BI69" s="75"/>
      <c r="BJ69" s="75"/>
      <c r="BK69" s="75"/>
      <c r="BL69" s="75"/>
      <c r="BM69" s="75"/>
      <c r="BN69" s="75"/>
    </row>
    <row r="70" ht="13.5" customHeight="1" hidden="1" spans="1:66" x14ac:dyDescent="0.25" outlineLevel="1" collapsed="1">
      <c r="A70" s="4"/>
      <c r="B70" s="627" t="str">
        <f>E90</f>
        <v>IQ386225</v>
      </c>
      <c r="C70" s="627"/>
      <c r="D70" s="628" t="e">
        <f>D51</f>
        <v>#NAME?</v>
      </c>
      <c r="E70" s="629"/>
      <c r="F70" s="630" t="str">
        <f>F51</f>
        <v>RSG</v>
      </c>
      <c r="G70" s="632">
        <f>_xll.ciqfunctions.udf.CIQ($B70, "IQ_EFFECT_TAX_RATE",IQ_FY)/100</f>
        <v>0.15953900000000001</v>
      </c>
      <c r="H70" s="659" t="e">
        <f>_xll.ciqfunctions.udf.CIQ($B70, "IQ_BETA_5YR",Current_Date)</f>
        <v>#NAME?</v>
      </c>
      <c r="I70" s="632" t="e">
        <f>_xll.ciqfunctions.udf.CIQ($B70, "IQ_DIVIDEND_YIELD",Current_Date)/100</f>
        <v>#NAME?</v>
      </c>
      <c r="J70" s="632">
        <f>(_xll.ciqfunctions.udf.CIQ($B70,"IQ_OPER_INC",IQ_LTM)*(1-G70))/(((_xll.ciqfunctions.udf.CIQ($B70,"IQ_TOTAL_DEBT",IQ_LTM))+_xll.ciqfunctions.udf.CIQ($B70,"IQ_TOTAL_EQUITY",IQ_LTM))-_xll.ciqfunctions.udf.CIQ($B70,"IQ_CASH_EQUIV",IQ_LTM))</f>
        <v>0.11061495489048788</v>
      </c>
      <c r="K70" s="632">
        <f>_xll.ciqfunctions.udf.CIQ($B70, "IQ_RETURN_EQUITY",IQ_LTM)/100</f>
        <v>0.18249300000000002</v>
      </c>
      <c r="L70" s="632">
        <f>_xll.ciqfunctions.udf.CIQ($B70, "IQ_RETURN_ASSETS",IQ_LTM)/100</f>
        <v>0.06343</v>
      </c>
      <c r="M70" s="633">
        <f>_xll.ciqfunctions.udf.CIQ($B70, "IQ_TOTAL_DEBT_CAPITAL",IQ_FY)/100</f>
        <v>0.531809</v>
      </c>
      <c r="N70" s="633">
        <f>_xll.ciqfunctions.udf.CIQ($B70, "IQ_TOTAL_DEBT_EBITDA",IQ_FY)</f>
        <v>2.53264</v>
      </c>
      <c r="O70" s="633">
        <f>_xll.ciqfunctions.udf.CIQ($B70, "IQ_TOTAL_DEBT_EQUITY",IQ_FY)/100</f>
        <v>1.135881</v>
      </c>
      <c r="P70" s="633">
        <f>_xll.ciqfunctions.udf.CIQ($B70, "IQ_EBITDA_INT",IQ_FY)</f>
        <v>9.49165</v>
      </c>
      <c r="Q70" s="633">
        <f>_xll.ciqfunctions.udf.CIQ($B70, "IQ_EBITDA_CAPEX_INT",IQ_FY)</f>
        <v>6.05009</v>
      </c>
      <c r="R70" s="633">
        <f>_xll.ciqfunctions.udf.CIQ($B70, "IQ_EBIT_INT",IQ_FY)</f>
        <v>5.99629</v>
      </c>
      <c r="S70" s="633">
        <f>_xll.ciqfunctions.udf.CIQ($B70, "IQ_QUICK_RATIO",IQ_FY)</f>
        <v>0.51962</v>
      </c>
      <c r="T70" s="633">
        <f>_xll.ciqfunctions.udf.CIQ($B70, "IQ_CURRENT_RATIO",IQ_FY)</f>
        <v>0.58285</v>
      </c>
      <c r="U70" s="630" t="str">
        <f>_xll.ciqfunctions.udf.CIQ($B70, "IQ_SP_LC_LT",Current)</f>
        <v>A-</v>
      </c>
      <c r="V70" s="660" t="str">
        <f>_xll.ciqfunctions.udf.CIQ($B70, "IQ_SP_OUTLOOK_WATCH",Current)</f>
        <v>Stable</v>
      </c>
      <c r="W70" s="8"/>
      <c r="X70" s="627" t="str">
        <f>I90</f>
        <v>IQ386225</v>
      </c>
      <c r="Y70" s="40"/>
      <c r="Z70" s="628" t="str">
        <f>Z51</f>
        <v>Republic Services, Inc.</v>
      </c>
      <c r="AA70" s="629"/>
      <c r="AB70" s="630" t="str">
        <f>AB51</f>
        <v>RSG</v>
      </c>
      <c r="AC70" s="632">
        <f>_xll.ciqfunctions.udf.CIQ($X70, "IQ_EFFECT_TAX_RATE",IQ_FY)/100</f>
        <v>0.15953900000000001</v>
      </c>
      <c r="AD70" s="659" t="e">
        <f>_xll.ciqfunctions.udf.CIQ($X70, "IQ_BETA_5YR",Current_Date)</f>
        <v>#NAME?</v>
      </c>
      <c r="AE70" s="632" t="e">
        <f>_xll.ciqfunctions.udf.CIQ($X70, "IQ_DIVIDEND_YIELD",Current_Date)/100</f>
        <v>#NAME?</v>
      </c>
      <c r="AF70" s="632">
        <f>(_xll.ciqfunctions.udf.CIQ($X70,"IQ_OPER_INC",IQ_LTM)*(1-AC70))/(((_xll.ciqfunctions.udf.CIQ($X70,"IQ_TOTAL_DEBT",IQ_LTM))+_xll.ciqfunctions.udf.CIQ($X70,"IQ_TOTAL_EQUITY",IQ_LTM))-_xll.ciqfunctions.udf.CIQ($X70,"IQ_CASH_EQUIV",IQ_LTM))</f>
        <v>0.11061495489048788</v>
      </c>
      <c r="AG70" s="632">
        <f>_xll.ciqfunctions.udf.CIQ($X70, "IQ_RETURN_EQUITY",IQ_LTM)/100</f>
        <v>0.18249300000000002</v>
      </c>
      <c r="AH70" s="632">
        <f>_xll.ciqfunctions.udf.CIQ($X70, "IQ_RETURN_ASSETS",IQ_LTM)/100</f>
        <v>0.06343</v>
      </c>
      <c r="AI70" s="633">
        <f>_xll.ciqfunctions.udf.CIQ($X70, "IQ_TOTAL_DEBT_CAPITAL",IQ_FY)/100</f>
        <v>0.531809</v>
      </c>
      <c r="AJ70" s="633">
        <f>_xll.ciqfunctions.udf.CIQ($X70, "IQ_TOTAL_DEBT_EBITDA",IQ_FY)</f>
        <v>2.53264</v>
      </c>
      <c r="AK70" s="633">
        <f>_xll.ciqfunctions.udf.CIQ($X70, "IQ_TOTAL_DEBT_EQUITY",IQ_FY)/100</f>
        <v>1.135881</v>
      </c>
      <c r="AL70" s="633">
        <f>_xll.ciqfunctions.udf.CIQ($X70, "IQ_EBITDA_INT",IQ_FY)</f>
        <v>9.49165</v>
      </c>
      <c r="AM70" s="633">
        <f>_xll.ciqfunctions.udf.CIQ($X70, "IQ_EBITDA_CAPEX_INT",IQ_FY)</f>
        <v>6.05009</v>
      </c>
      <c r="AN70" s="633">
        <f>_xll.ciqfunctions.udf.CIQ($X70, "IQ_EBIT_INT",IQ_FY)</f>
        <v>5.99629</v>
      </c>
      <c r="AO70" s="659">
        <f>_xll.ciqfunctions.udf.CIQ($X70, "IQ_QUICK_RATIO",IQ_FY)</f>
        <v>0.51962</v>
      </c>
      <c r="AP70" s="659">
        <f>_xll.ciqfunctions.udf.CIQ($X70, "IQ_CURRENT_RATIO",IQ_FY)</f>
        <v>0.58285</v>
      </c>
      <c r="AQ70" s="630" t="str">
        <f>_xll.ciqfunctions.udf.CIQ($X70, "IQ_SP_LC_LT",Current)</f>
        <v>A-</v>
      </c>
      <c r="AR70" s="660" t="str">
        <f>_xll.ciqfunctions.udf.CIQ($X70, "IQ_SP_OUTLOOK_WATCH",Current)</f>
        <v>Stable</v>
      </c>
      <c r="AS70" s="4"/>
      <c r="AT70" s="627" t="str">
        <f>N90</f>
        <v>IQ386225</v>
      </c>
      <c r="AU70" s="40">
        <f>AU51</f>
        <v>0</v>
      </c>
      <c r="AV70" s="628" t="str">
        <f>AV51</f>
        <v>Republic Services, Inc.</v>
      </c>
      <c r="AW70" s="629"/>
      <c r="AX70" s="630" t="str">
        <f>AX51</f>
        <v>RSG</v>
      </c>
      <c r="AY70" s="632">
        <f>_xll.ciqfunctions.udf.CIQ($AT70, "IQ_EFFECT_TAX_RATE",IQ_FY)/100</f>
        <v>0.15953900000000001</v>
      </c>
      <c r="AZ70" s="659" t="e">
        <f>_xll.ciqfunctions.udf.CIQ($AT70, "IQ_BETA_5YR",Current_Date)</f>
        <v>#NAME?</v>
      </c>
      <c r="BA70" s="632" t="e">
        <f>_xll.ciqfunctions.udf.CIQ($AT70, "IQ_DIVIDEND_YIELD",Current_Date)/100</f>
        <v>#NAME?</v>
      </c>
      <c r="BB70" s="632">
        <f>(_xll.ciqfunctions.udf.CIQ($AT70,"IQ_OPER_INC",IQ_LTM)*(1-AY70))/(((_xll.ciqfunctions.udf.CIQ($AT70,"IQ_TOTAL_DEBT",IQ_LTM))+_xll.ciqfunctions.udf.CIQ($AT70,"IQ_TOTAL_EQUITY",IQ_LTM))-_xll.ciqfunctions.udf.CIQ($AT70,"IQ_CASH_EQUIV",IQ_LTM))</f>
        <v>0.11061495489048788</v>
      </c>
      <c r="BC70" s="632">
        <f>_xll.ciqfunctions.udf.CIQ($AT70, "IQ_RETURN_EQUITY",IQ_LTM)/100</f>
        <v>0.18249300000000002</v>
      </c>
      <c r="BD70" s="632">
        <f>_xll.ciqfunctions.udf.CIQ($AT70, "IQ_RETURN_ASSETS",IQ_LTM)/100</f>
        <v>0.06343</v>
      </c>
      <c r="BE70" s="633">
        <f>_xll.ciqfunctions.udf.CIQ($AT70, "IQ_TOTAL_DEBT_CAPITAL",IQ_FY)/100</f>
        <v>0.531809</v>
      </c>
      <c r="BF70" s="633">
        <f>_xll.ciqfunctions.udf.CIQ($AT70, "IQ_TOTAL_DEBT_EBITDA",IQ_FY)</f>
        <v>2.53264</v>
      </c>
      <c r="BG70" s="633">
        <f>_xll.ciqfunctions.udf.CIQ($AT70, "IQ_TOTAL_DEBT_EQUITY",IQ_FY)/100</f>
        <v>1.135881</v>
      </c>
      <c r="BH70" s="633">
        <f>_xll.ciqfunctions.udf.CIQ($AT70, "IQ_EBITDA_INT",IQ_FY)</f>
        <v>9.49165</v>
      </c>
      <c r="BI70" s="633">
        <f>_xll.ciqfunctions.udf.CIQ($AT70, "IQ_EBITDA_CAPEX_INT",IQ_FY)</f>
        <v>6.05009</v>
      </c>
      <c r="BJ70" s="633">
        <f>_xll.ciqfunctions.udf.CIQ($AT70, "IQ_EBIT_INT",IQ_FY)</f>
        <v>5.99629</v>
      </c>
      <c r="BK70" s="659">
        <f>_xll.ciqfunctions.udf.CIQ($AT70, "IQ_QUICK_RATIO",IQ_FY)</f>
        <v>0.51962</v>
      </c>
      <c r="BL70" s="659">
        <f>_xll.ciqfunctions.udf.CIQ($AT70, "IQ_CURRENT_RATIO",IQ_FY)</f>
        <v>0.58285</v>
      </c>
      <c r="BM70" s="630" t="str">
        <f>_xll.ciqfunctions.udf.CIQ($AT70, "IQ_SP_LC_LT",Current)</f>
        <v>A-</v>
      </c>
      <c r="BN70" s="660" t="str">
        <f>_xll.ciqfunctions.udf.CIQ($AT70, "IQ_SP_OUTLOOK_WATCH",Current)</f>
        <v>Stable</v>
      </c>
    </row>
    <row r="71" ht="13.5" customHeight="1" hidden="1" spans="1:66" x14ac:dyDescent="0.25" outlineLevel="1" collapsed="1">
      <c r="A71" s="4"/>
      <c r="B71" s="627"/>
      <c r="C71" s="627"/>
      <c r="D71" s="8"/>
      <c r="E71" s="8"/>
      <c r="F71" s="75"/>
      <c r="G71" s="563"/>
      <c r="H71" s="75"/>
      <c r="I71" s="635"/>
      <c r="J71" s="623"/>
      <c r="K71" s="623"/>
      <c r="L71" s="623"/>
      <c r="M71" s="623"/>
      <c r="N71" s="575"/>
      <c r="O71" s="623"/>
      <c r="P71" s="575"/>
      <c r="Q71" s="571"/>
      <c r="R71" s="571"/>
      <c r="S71" s="623"/>
      <c r="T71" s="623"/>
      <c r="U71" s="35"/>
      <c r="V71" s="35"/>
      <c r="W71" s="8"/>
      <c r="X71" s="627"/>
      <c r="Y71" s="40"/>
      <c r="Z71" s="8"/>
      <c r="AA71" s="8"/>
      <c r="AB71" s="75"/>
      <c r="AC71" s="635"/>
      <c r="AD71" s="75"/>
      <c r="AE71" s="635"/>
      <c r="AF71" s="623"/>
      <c r="AG71" s="623"/>
      <c r="AH71" s="623"/>
      <c r="AI71" s="623"/>
      <c r="AJ71" s="575"/>
      <c r="AK71" s="623"/>
      <c r="AL71" s="575"/>
      <c r="AM71" s="571"/>
      <c r="AN71" s="571"/>
      <c r="AO71" s="75"/>
      <c r="AP71" s="75"/>
      <c r="AQ71" s="35"/>
      <c r="AR71" s="35"/>
      <c r="AS71" s="4"/>
      <c r="AT71" s="627"/>
      <c r="AU71" s="40"/>
      <c r="AV71" s="8"/>
      <c r="AW71" s="8"/>
      <c r="AX71" s="75"/>
      <c r="AY71" s="635"/>
      <c r="AZ71" s="75"/>
      <c r="BA71" s="635"/>
      <c r="BB71" s="623"/>
      <c r="BC71" s="623"/>
      <c r="BD71" s="623"/>
      <c r="BE71" s="623"/>
      <c r="BF71" s="575"/>
      <c r="BG71" s="623"/>
      <c r="BH71" s="575"/>
      <c r="BI71" s="571"/>
      <c r="BJ71" s="571"/>
      <c r="BK71" s="75"/>
      <c r="BL71" s="75"/>
      <c r="BM71" s="35"/>
      <c r="BN71" s="35"/>
    </row>
    <row r="72" ht="13.5" customHeight="1" hidden="1" spans="1:66" x14ac:dyDescent="0.25" outlineLevel="1" collapsed="1">
      <c r="A72" s="4"/>
      <c r="B72" s="627" t="str">
        <f>E94</f>
        <v>IQ190694</v>
      </c>
      <c r="C72" s="627"/>
      <c r="D72" s="8" t="e">
        <f>D53</f>
        <v>#NAME?</v>
      </c>
      <c r="E72" s="8"/>
      <c r="F72" s="75" t="str">
        <f>E93</f>
        <v>WM</v>
      </c>
      <c r="G72" s="570">
        <f>_xll.ciqfunctions.udf.CIQ($B72, "IQ_EFFECT_TAX_RATE",IQ_FY)/100</f>
        <v>0.209281</v>
      </c>
      <c r="H72" s="609" t="e">
        <f>_xll.ciqfunctions.udf.CIQ($B72, "IQ_BETA_5YR",Current_Date)</f>
        <v>#NAME?</v>
      </c>
      <c r="I72" s="570" t="e">
        <f>_xll.ciqfunctions.udf.CIQ($B72, "IQ_DIVIDEND_YIELD",Current_Date)/100</f>
        <v>#NAME?</v>
      </c>
      <c r="J72" s="570">
        <f>(_xll.ciqfunctions.udf.CIQ($B72,"IQ_OPER_INC",IQ_LTM)*(1-G72))/(((_xll.ciqfunctions.udf.CIQ($B72,"IQ_TOTAL_DEBT",IQ_LTM))+_xll.ciqfunctions.udf.CIQ($B72,"IQ_TOTAL_EQUITY",IQ_LTM))-_xll.ciqfunctions.udf.CIQ($B72,"IQ_CASH_EQUIV",IQ_LTM))</f>
        <v>0.11395136948343884</v>
      </c>
      <c r="K72" s="570">
        <f>_xll.ciqfunctions.udf.CIQ($B72, "IQ_RETURN_EQUITY",IQ_LTM)/100</f>
        <v>0.296958</v>
      </c>
      <c r="L72" s="570">
        <f>_xll.ciqfunctions.udf.CIQ($B72, "IQ_RETURN_ASSETS",IQ_LTM)/100</f>
        <v>0.065153</v>
      </c>
      <c r="M72" s="575">
        <f>_xll.ciqfunctions.udf.CIQ($B72, "IQ_TOTAL_DEBT_CAPITAL",IQ_FY)/100</f>
        <v>0.696303</v>
      </c>
      <c r="N72" s="575">
        <f>_xll.ciqfunctions.udf.CIQ($B72, "IQ_TOTAL_DEBT_EBITDA",IQ_FY)</f>
        <v>3.02403</v>
      </c>
      <c r="O72" s="575">
        <f>_xll.ciqfunctions.udf.CIQ($B72, "IQ_TOTAL_DEBT_EQUITY",IQ_FY)/100</f>
        <v>2.292763</v>
      </c>
      <c r="P72" s="575">
        <f>_xll.ciqfunctions.udf.CIQ($B72, "IQ_EBITDA_INT",IQ_FY)</f>
        <v>8.30592</v>
      </c>
      <c r="Q72" s="575">
        <f>_xll.ciqfunctions.udf.CIQ($B72, "IQ_EBITDA_CAPEX_INT",IQ_FY)</f>
        <v>4.76754</v>
      </c>
      <c r="R72" s="575">
        <f>_xll.ciqfunctions.udf.CIQ($B72, "IQ_EBIT_INT",IQ_FY)</f>
        <v>5.16667</v>
      </c>
      <c r="S72" s="575">
        <f>_xll.ciqfunctions.udf.CIQ($B72, "IQ_QUICK_RATIO",IQ_FY)</f>
        <v>0.77046</v>
      </c>
      <c r="T72" s="575">
        <f>_xll.ciqfunctions.udf.CIQ($B72, "IQ_CURRENT_RATIO",IQ_FY)</f>
        <v>0.88885</v>
      </c>
      <c r="U72" s="75" t="str">
        <f>_xll.ciqfunctions.udf.CIQ($B72, "IQ_SP_LC_LT",Current)</f>
        <v>A-</v>
      </c>
      <c r="V72" s="75" t="str">
        <f>_xll.ciqfunctions.udf.CIQ($B72, "IQ_SP_OUTLOOK_WATCH",Current)</f>
        <v>Negative</v>
      </c>
      <c r="W72" s="8"/>
      <c r="X72" s="627">
        <f>I94</f>
        <v>0</v>
      </c>
      <c r="Y72" s="40"/>
      <c r="Z72" s="8" t="e">
        <f>Z53</f>
        <v>#NAME?</v>
      </c>
      <c r="AA72" s="8"/>
      <c r="AB72" s="75">
        <f>I93</f>
        <v>0</v>
      </c>
      <c r="AC72" s="570" t="e">
        <f>_xll.ciqfunctions.udf.CIQ($X72, "IQ_EFFECT_TAX_RATE",IQ_FY)/100</f>
        <v>#VALUE!</v>
      </c>
      <c r="AD72" s="609" t="e">
        <f>_xll.ciqfunctions.udf.CIQ($X72, "IQ_BETA_5YR",Current_Date)</f>
        <v>#NAME?</v>
      </c>
      <c r="AE72" s="570" t="e">
        <f>_xll.ciqfunctions.udf.CIQ($X72, "IQ_DIVIDEND_YIELD",Current_Date)/100</f>
        <v>#NAME?</v>
      </c>
      <c r="AF72" s="570" t="e">
        <f>(_xll.ciqfunctions.udf.CIQ($X72,"IQ_OPER_INC",IQ_LTM)*(1-AC72))/(((_xll.ciqfunctions.udf.CIQ($X72,"IQ_TOTAL_DEBT",IQ_LTM))+_xll.ciqfunctions.udf.CIQ($X72,"IQ_TOTAL_EQUITY",IQ_LTM))-_xll.ciqfunctions.udf.CIQ($X72,"IQ_CASH_EQUIV",IQ_LTM))</f>
        <v>#VALUE!</v>
      </c>
      <c r="AG72" s="570" t="e">
        <f>_xll.ciqfunctions.udf.CIQ($X72, "IQ_RETURN_EQUITY",IQ_LTM)/100</f>
        <v>#VALUE!</v>
      </c>
      <c r="AH72" s="570" t="e">
        <f>_xll.ciqfunctions.udf.CIQ($X72, "IQ_RETURN_ASSETS",IQ_LTM)/100</f>
        <v>#VALUE!</v>
      </c>
      <c r="AI72" s="575" t="e">
        <f>_xll.ciqfunctions.udf.CIQ($X72, "IQ_TOTAL_DEBT_CAPITAL",IQ_FY)/100</f>
        <v>#VALUE!</v>
      </c>
      <c r="AJ72" s="575" t="str">
        <f>_xll.ciqfunctions.udf.CIQ($X72, "IQ_TOTAL_DEBT_EBITDA",IQ_FY)</f>
        <v>(Invalid Identifier)</v>
      </c>
      <c r="AK72" s="575" t="e">
        <f>_xll.ciqfunctions.udf.CIQ($X72, "IQ_TOTAL_DEBT_EQUITY",IQ_FY)/100</f>
        <v>#VALUE!</v>
      </c>
      <c r="AL72" s="575" t="str">
        <f>_xll.ciqfunctions.udf.CIQ($X72, "IQ_EBITDA_INT",IQ_FY)</f>
        <v>(Invalid Identifier)</v>
      </c>
      <c r="AM72" s="575" t="str">
        <f>_xll.ciqfunctions.udf.CIQ($X72, "IQ_EBITDA_CAPEX_INT",IQ_FY)</f>
        <v>(Invalid Identifier)</v>
      </c>
      <c r="AN72" s="575" t="str">
        <f>_xll.ciqfunctions.udf.CIQ($X72, "IQ_EBIT_INT",IQ_FY)</f>
        <v>(Invalid Identifier)</v>
      </c>
      <c r="AO72" s="609" t="str">
        <f>_xll.ciqfunctions.udf.CIQ($X72, "IQ_QUICK_RATIO",IQ_FY)</f>
        <v>(Invalid Identifier)</v>
      </c>
      <c r="AP72" s="609" t="str">
        <f>_xll.ciqfunctions.udf.CIQ($X72, "IQ_CURRENT_RATIO",IQ_FY)</f>
        <v>(Invalid Identifier)</v>
      </c>
      <c r="AQ72" s="75" t="str">
        <f>_xll.ciqfunctions.udf.CIQ($X72, "IQ_SP_LC_LT",Current)</f>
        <v>(Invalid Identifier)</v>
      </c>
      <c r="AR72" s="75" t="str">
        <f>_xll.ciqfunctions.udf.CIQ($X72, "IQ_SP_OUTLOOK_WATCH",Current)</f>
        <v>(Invalid Identifier)</v>
      </c>
      <c r="AS72" s="4"/>
      <c r="AT72" s="627">
        <f>N94</f>
        <v>0</v>
      </c>
      <c r="AU72" s="40">
        <f>AU53</f>
        <v>0</v>
      </c>
      <c r="AV72" s="8" t="e">
        <f>AV53</f>
        <v>#NAME?</v>
      </c>
      <c r="AW72" s="8"/>
      <c r="AX72" s="75">
        <f>AX53</f>
        <v>0</v>
      </c>
      <c r="AY72" s="570" t="e">
        <f>_xll.ciqfunctions.udf.CIQ($AT72, "IQ_EFFECT_TAX_RATE",IQ_FY)/100</f>
        <v>#VALUE!</v>
      </c>
      <c r="AZ72" s="609" t="e">
        <f>_xll.ciqfunctions.udf.CIQ($AT72, "IQ_BETA_5YR",Current_Date)</f>
        <v>#NAME?</v>
      </c>
      <c r="BA72" s="570" t="e">
        <f>_xll.ciqfunctions.udf.CIQ($AT72, "IQ_DIVIDEND_YIELD",Current_Date)/100</f>
        <v>#NAME?</v>
      </c>
      <c r="BB72" s="570" t="e">
        <f>(_xll.ciqfunctions.udf.CIQ($AT72,"IQ_OPER_INC",IQ_LTM)*(1-AY72))/(((_xll.ciqfunctions.udf.CIQ($AT72,"IQ_TOTAL_DEBT",IQ_LTM))+_xll.ciqfunctions.udf.CIQ($AT72,"IQ_TOTAL_EQUITY",IQ_LTM))-_xll.ciqfunctions.udf.CIQ($AT72,"IQ_CASH_EQUIV",IQ_LTM))</f>
        <v>#VALUE!</v>
      </c>
      <c r="BC72" s="570" t="e">
        <f>_xll.ciqfunctions.udf.CIQ($AT72, "IQ_RETURN_EQUITY",IQ_LTM)/100</f>
        <v>#VALUE!</v>
      </c>
      <c r="BD72" s="570" t="e">
        <f>_xll.ciqfunctions.udf.CIQ($AT72, "IQ_RETURN_ASSETS",IQ_LTM)/100</f>
        <v>#VALUE!</v>
      </c>
      <c r="BE72" s="575" t="e">
        <f>_xll.ciqfunctions.udf.CIQ($AT72, "IQ_TOTAL_DEBT_CAPITAL",IQ_FY)/100</f>
        <v>#VALUE!</v>
      </c>
      <c r="BF72" s="575" t="str">
        <f>_xll.ciqfunctions.udf.CIQ($AT72, "IQ_TOTAL_DEBT_EBITDA",IQ_FY)</f>
        <v>(Invalid Identifier)</v>
      </c>
      <c r="BG72" s="575" t="e">
        <f>_xll.ciqfunctions.udf.CIQ($AT72, "IQ_TOTAL_DEBT_EQUITY",IQ_FY)/100</f>
        <v>#VALUE!</v>
      </c>
      <c r="BH72" s="575" t="str">
        <f>_xll.ciqfunctions.udf.CIQ($AT72, "IQ_EBITDA_INT",IQ_FY)</f>
        <v>(Invalid Identifier)</v>
      </c>
      <c r="BI72" s="575" t="str">
        <f>_xll.ciqfunctions.udf.CIQ($AT72, "IQ_EBITDA_CAPEX_INT",IQ_FY)</f>
        <v>(Invalid Identifier)</v>
      </c>
      <c r="BJ72" s="575" t="str">
        <f>_xll.ciqfunctions.udf.CIQ($AT72, "IQ_EBIT_INT",IQ_FY)</f>
        <v>(Invalid Identifier)</v>
      </c>
      <c r="BK72" s="609" t="str">
        <f>_xll.ciqfunctions.udf.CIQ($AT72, "IQ_QUICK_RATIO",IQ_FY)</f>
        <v>(Invalid Identifier)</v>
      </c>
      <c r="BL72" s="609" t="str">
        <f>_xll.ciqfunctions.udf.CIQ($AT72, "IQ_CURRENT_RATIO",IQ_FY)</f>
        <v>(Invalid Identifier)</v>
      </c>
      <c r="BM72" s="75" t="str">
        <f>_xll.ciqfunctions.udf.CIQ($AT72, "IQ_SP_LC_LT",Current)</f>
        <v>(Invalid Identifier)</v>
      </c>
      <c r="BN72" s="75" t="str">
        <f>_xll.ciqfunctions.udf.CIQ($AT72, "IQ_SP_OUTLOOK_WATCH",Current)</f>
        <v>(Invalid Identifier)</v>
      </c>
    </row>
    <row r="73" ht="13.5" customHeight="1" hidden="1" spans="1:66" x14ac:dyDescent="0.25" outlineLevel="1" collapsed="1">
      <c r="A73" s="4"/>
      <c r="B73" s="627" t="str">
        <f>E98</f>
        <v>IQ384586</v>
      </c>
      <c r="C73" s="627"/>
      <c r="D73" s="8" t="e">
        <f>D54</f>
        <v>#NAME?</v>
      </c>
      <c r="E73" s="8"/>
      <c r="F73" s="75" t="str">
        <f>E97</f>
        <v>WCN</v>
      </c>
      <c r="G73" s="570">
        <f>_xll.ciqfunctions.udf.CIQ($B73, "IQ_EFFECT_TAX_RATE",IQ_FY)/100</f>
        <v>0.191842</v>
      </c>
      <c r="H73" s="609" t="e">
        <f>_xll.ciqfunctions.udf.CIQ($B73, "IQ_BETA_5YR",Current_Date)</f>
        <v>#NAME?</v>
      </c>
      <c r="I73" s="570" t="e">
        <f>_xll.ciqfunctions.udf.CIQ($B73, "IQ_DIVIDEND_YIELD",Current_Date)/100</f>
        <v>#NAME?</v>
      </c>
      <c r="J73" s="570">
        <f>(_xll.ciqfunctions.udf.CIQ($B73,"IQ_OPER_INC",IQ_LTM)*(1-G73))/(((_xll.ciqfunctions.udf.CIQ($B73,"IQ_TOTAL_DEBT",IQ_LTM))+_xll.ciqfunctions.udf.CIQ($B73,"IQ_TOTAL_EQUITY",IQ_LTM))-_xll.ciqfunctions.udf.CIQ($B73,"IQ_CASH_EQUIV",IQ_LTM))</f>
        <v>0.060684863017977334</v>
      </c>
      <c r="K73" s="570">
        <f>_xll.ciqfunctions.udf.CIQ($B73, "IQ_RETURN_EQUITY",IQ_LTM)/100</f>
        <v>0.076069</v>
      </c>
      <c r="L73" s="570">
        <f>_xll.ciqfunctions.udf.CIQ($B73, "IQ_RETURN_ASSETS",IQ_LTM)/100</f>
        <v>0.038881</v>
      </c>
      <c r="M73" s="575">
        <f>_xll.ciqfunctions.udf.CIQ($B73, "IQ_TOTAL_DEBT_CAPITAL",IQ_FY)/100</f>
        <v>0.516831</v>
      </c>
      <c r="N73" s="575">
        <f>_xll.ciqfunctions.udf.CIQ($B73, "IQ_TOTAL_DEBT_EBITDA",IQ_FY)</f>
        <v>3.44152</v>
      </c>
      <c r="O73" s="575">
        <f>_xll.ciqfunctions.udf.CIQ($B73, "IQ_TOTAL_DEBT_EQUITY",IQ_FY)/100</f>
        <v>1.069672</v>
      </c>
      <c r="P73" s="575">
        <f>_xll.ciqfunctions.udf.CIQ($B73, "IQ_EBITDA_INT",IQ_FY)</f>
        <v>7.47576</v>
      </c>
      <c r="Q73" s="575">
        <f>_xll.ciqfunctions.udf.CIQ($B73, "IQ_EBITDA_CAPEX_INT",IQ_FY)</f>
        <v>4.2445</v>
      </c>
      <c r="R73" s="575">
        <f>_xll.ciqfunctions.udf.CIQ($B73, "IQ_EBIT_INT",IQ_FY)</f>
        <v>3.75151</v>
      </c>
      <c r="S73" s="575">
        <f>_xll.ciqfunctions.udf.CIQ($B73, "IQ_QUICK_RATIO",IQ_FY)</f>
        <v>0.55648</v>
      </c>
      <c r="T73" s="575">
        <f>_xll.ciqfunctions.udf.CIQ($B73, "IQ_CURRENT_RATIO",IQ_FY)</f>
        <v>0.65302</v>
      </c>
      <c r="U73" s="75" t="str">
        <f>_xll.ciqfunctions.udf.CIQ($B73, "IQ_SP_LC_LT",Current)</f>
        <v>BBB+</v>
      </c>
      <c r="V73" s="75" t="str">
        <f>_xll.ciqfunctions.udf.CIQ($B73, "IQ_SP_OUTLOOK_WATCH",Current)</f>
        <v>Stable</v>
      </c>
      <c r="W73" s="8"/>
      <c r="X73" s="627">
        <f>I98</f>
        <v>0</v>
      </c>
      <c r="Y73" s="40"/>
      <c r="Z73" s="8" t="e">
        <f>Z54</f>
        <v>#NAME?</v>
      </c>
      <c r="AA73" s="8"/>
      <c r="AB73" s="75">
        <f>I97</f>
        <v>0</v>
      </c>
      <c r="AC73" s="570" t="e">
        <f>_xll.ciqfunctions.udf.CIQ($X73, "IQ_EFFECT_TAX_RATE",IQ_FY)/100</f>
        <v>#VALUE!</v>
      </c>
      <c r="AD73" s="609" t="e">
        <f>_xll.ciqfunctions.udf.CIQ($X73, "IQ_BETA_5YR",Current_Date)</f>
        <v>#NAME?</v>
      </c>
      <c r="AE73" s="570" t="e">
        <f>_xll.ciqfunctions.udf.CIQ($X73, "IQ_DIVIDEND_YIELD",Current_Date)/100</f>
        <v>#NAME?</v>
      </c>
      <c r="AF73" s="570" t="e">
        <f>(_xll.ciqfunctions.udf.CIQ($X73,"IQ_OPER_INC",IQ_LTM)*(1-AC73))/(((_xll.ciqfunctions.udf.CIQ($X73,"IQ_TOTAL_DEBT",IQ_LTM))+_xll.ciqfunctions.udf.CIQ($X73,"IQ_TOTAL_EQUITY",IQ_LTM))-_xll.ciqfunctions.udf.CIQ($X73,"IQ_CASH_EQUIV",IQ_LTM))</f>
        <v>#VALUE!</v>
      </c>
      <c r="AG73" s="570" t="e">
        <f>_xll.ciqfunctions.udf.CIQ($X73, "IQ_RETURN_EQUITY",IQ_LTM)/100</f>
        <v>#VALUE!</v>
      </c>
      <c r="AH73" s="570" t="e">
        <f>_xll.ciqfunctions.udf.CIQ($X73, "IQ_RETURN_ASSETS",IQ_LTM)/100</f>
        <v>#VALUE!</v>
      </c>
      <c r="AI73" s="575" t="e">
        <f>_xll.ciqfunctions.udf.CIQ($X73, "IQ_TOTAL_DEBT_CAPITAL",IQ_FY)/100</f>
        <v>#VALUE!</v>
      </c>
      <c r="AJ73" s="575" t="str">
        <f>_xll.ciqfunctions.udf.CIQ($X73, "IQ_TOTAL_DEBT_EBITDA",IQ_FY)</f>
        <v>(Invalid Identifier)</v>
      </c>
      <c r="AK73" s="575" t="e">
        <f>_xll.ciqfunctions.udf.CIQ($X73, "IQ_TOTAL_DEBT_EQUITY",IQ_FY)/100</f>
        <v>#VALUE!</v>
      </c>
      <c r="AL73" s="575" t="str">
        <f>_xll.ciqfunctions.udf.CIQ($X73, "IQ_EBITDA_INT",IQ_FY)</f>
        <v>(Invalid Identifier)</v>
      </c>
      <c r="AM73" s="575" t="str">
        <f>_xll.ciqfunctions.udf.CIQ($X73, "IQ_EBITDA_CAPEX_INT",IQ_FY)</f>
        <v>(Invalid Identifier)</v>
      </c>
      <c r="AN73" s="575" t="str">
        <f>_xll.ciqfunctions.udf.CIQ($X73, "IQ_EBIT_INT",IQ_FY)</f>
        <v>(Invalid Identifier)</v>
      </c>
      <c r="AO73" s="609" t="str">
        <f>_xll.ciqfunctions.udf.CIQ($X73, "IQ_QUICK_RATIO",IQ_FY)</f>
        <v>(Invalid Identifier)</v>
      </c>
      <c r="AP73" s="609" t="str">
        <f>_xll.ciqfunctions.udf.CIQ($X73, "IQ_CURRENT_RATIO",IQ_FY)</f>
        <v>(Invalid Identifier)</v>
      </c>
      <c r="AQ73" s="75" t="str">
        <f>_xll.ciqfunctions.udf.CIQ($X73, "IQ_SP_LC_LT",Current)</f>
        <v>(Invalid Identifier)</v>
      </c>
      <c r="AR73" s="75" t="str">
        <f>_xll.ciqfunctions.udf.CIQ($X73, "IQ_SP_OUTLOOK_WATCH",Current)</f>
        <v>(Invalid Identifier)</v>
      </c>
      <c r="AS73" s="4"/>
      <c r="AT73" s="627">
        <f>N98</f>
        <v>0</v>
      </c>
      <c r="AU73" s="40">
        <f>AU96</f>
        <v>0</v>
      </c>
      <c r="AV73" s="8" t="e">
        <f>AV54</f>
        <v>#NAME?</v>
      </c>
      <c r="AW73" s="8"/>
      <c r="AX73" s="75">
        <f>AX54</f>
        <v>0</v>
      </c>
      <c r="AY73" s="570" t="e">
        <f>_xll.ciqfunctions.udf.CIQ($AT73, "IQ_EFFECT_TAX_RATE",IQ_FY)/100</f>
        <v>#VALUE!</v>
      </c>
      <c r="AZ73" s="609" t="e">
        <f>_xll.ciqfunctions.udf.CIQ($AT73, "IQ_BETA_5YR",Current_Date)</f>
        <v>#NAME?</v>
      </c>
      <c r="BA73" s="570" t="e">
        <f>_xll.ciqfunctions.udf.CIQ($AT73, "IQ_DIVIDEND_YIELD",Current_Date)/100</f>
        <v>#NAME?</v>
      </c>
      <c r="BB73" s="570" t="e">
        <f>(_xll.ciqfunctions.udf.CIQ($AT73,"IQ_OPER_INC",IQ_LTM)*(1-AY73))/(((_xll.ciqfunctions.udf.CIQ($AT73,"IQ_TOTAL_DEBT",IQ_LTM))+_xll.ciqfunctions.udf.CIQ($AT73,"IQ_TOTAL_EQUITY",IQ_LTM))-_xll.ciqfunctions.udf.CIQ($AT73,"IQ_CASH_EQUIV",IQ_LTM))</f>
        <v>#VALUE!</v>
      </c>
      <c r="BC73" s="570" t="e">
        <f>_xll.ciqfunctions.udf.CIQ($AT73, "IQ_RETURN_EQUITY",IQ_LTM)/100</f>
        <v>#VALUE!</v>
      </c>
      <c r="BD73" s="570" t="e">
        <f>_xll.ciqfunctions.udf.CIQ($AT73, "IQ_RETURN_ASSETS",IQ_LTM)/100</f>
        <v>#VALUE!</v>
      </c>
      <c r="BE73" s="575" t="e">
        <f>_xll.ciqfunctions.udf.CIQ($AT73, "IQ_TOTAL_DEBT_CAPITAL",IQ_FY)/100</f>
        <v>#VALUE!</v>
      </c>
      <c r="BF73" s="575" t="str">
        <f>_xll.ciqfunctions.udf.CIQ($AT73, "IQ_TOTAL_DEBT_EBITDA",IQ_FY)</f>
        <v>(Invalid Identifier)</v>
      </c>
      <c r="BG73" s="575" t="e">
        <f>_xll.ciqfunctions.udf.CIQ($AT73, "IQ_TOTAL_DEBT_EQUITY",IQ_FY)/100</f>
        <v>#VALUE!</v>
      </c>
      <c r="BH73" s="575" t="str">
        <f>_xll.ciqfunctions.udf.CIQ($AT73, "IQ_EBITDA_INT",IQ_FY)</f>
        <v>(Invalid Identifier)</v>
      </c>
      <c r="BI73" s="575" t="str">
        <f>_xll.ciqfunctions.udf.CIQ($AT73, "IQ_EBITDA_CAPEX_INT",IQ_FY)</f>
        <v>(Invalid Identifier)</v>
      </c>
      <c r="BJ73" s="575" t="str">
        <f>_xll.ciqfunctions.udf.CIQ($AT73, "IQ_EBIT_INT",IQ_FY)</f>
        <v>(Invalid Identifier)</v>
      </c>
      <c r="BK73" s="609" t="str">
        <f>_xll.ciqfunctions.udf.CIQ($AT73, "IQ_QUICK_RATIO",IQ_FY)</f>
        <v>(Invalid Identifier)</v>
      </c>
      <c r="BL73" s="609" t="str">
        <f>_xll.ciqfunctions.udf.CIQ($AT73, "IQ_CURRENT_RATIO",IQ_FY)</f>
        <v>(Invalid Identifier)</v>
      </c>
      <c r="BM73" s="75" t="str">
        <f>_xll.ciqfunctions.udf.CIQ($AT73, "IQ_SP_LC_LT",Current)</f>
        <v>(Invalid Identifier)</v>
      </c>
      <c r="BN73" s="75" t="str">
        <f>_xll.ciqfunctions.udf.CIQ($AT73, "IQ_SP_OUTLOOK_WATCH",Current)</f>
        <v>(Invalid Identifier)</v>
      </c>
    </row>
    <row r="74" ht="13.5" customHeight="1" hidden="1" spans="1:66" x14ac:dyDescent="0.25" outlineLevel="1" collapsed="1">
      <c r="A74" s="4"/>
      <c r="B74" s="627" t="str">
        <f>E102</f>
        <v>IQ58576575</v>
      </c>
      <c r="C74" s="627"/>
      <c r="D74" s="8" t="e">
        <f>D55</f>
        <v>#NAME?</v>
      </c>
      <c r="E74" s="8"/>
      <c r="F74" s="75" t="str">
        <f>E101</f>
        <v>GFL</v>
      </c>
      <c r="G74" s="570" t="e">
        <f>_xll.ciqfunctions.udf.CIQ($B74, "IQ_EFFECT_TAX_RATE",IQ_FY)/100</f>
        <v>#VALUE!</v>
      </c>
      <c r="H74" s="609" t="e">
        <f>_xll.ciqfunctions.udf.CIQ($B74, "IQ_BETA_5YR",Current_Date)</f>
        <v>#NAME?</v>
      </c>
      <c r="I74" s="570" t="e">
        <f>_xll.ciqfunctions.udf.CIQ($B74, "IQ_DIVIDEND_YIELD",Current_Date)/100</f>
        <v>#NAME?</v>
      </c>
      <c r="J74" s="570" t="e">
        <f>(_xll.ciqfunctions.udf.CIQ($B74,"IQ_OPER_INC",IQ_LTM)*(1-G74))/(((_xll.ciqfunctions.udf.CIQ($B74,"IQ_TOTAL_DEBT",IQ_LTM))+_xll.ciqfunctions.udf.CIQ($B74,"IQ_TOTAL_EQUITY",IQ_LTM))-_xll.ciqfunctions.udf.CIQ($B74,"IQ_CASH_EQUIV",IQ_LTM))</f>
        <v>#VALUE!</v>
      </c>
      <c r="K74" s="570">
        <f>_xll.ciqfunctions.udf.CIQ($B74, "IQ_RETURN_EQUITY",IQ_LTM)/100</f>
        <v>0.015771</v>
      </c>
      <c r="L74" s="570">
        <f>_xll.ciqfunctions.udf.CIQ($B74, "IQ_RETURN_ASSETS",IQ_LTM)/100</f>
        <v>0.020813</v>
      </c>
      <c r="M74" s="575">
        <f>_xll.ciqfunctions.udf.CIQ($B74, "IQ_TOTAL_DEBT_CAPITAL",IQ_FY)/100</f>
        <v>0.593617</v>
      </c>
      <c r="N74" s="575">
        <f>_xll.ciqfunctions.udf.CIQ($B74, "IQ_TOTAL_DEBT_EBITDA",IQ_FY)</f>
        <v>5.06214</v>
      </c>
      <c r="O74" s="575">
        <f>_xll.ciqfunctions.udf.CIQ($B74, "IQ_TOTAL_DEBT_EQUITY",IQ_FY)/100</f>
        <v>1.460736</v>
      </c>
      <c r="P74" s="575">
        <f>_xll.ciqfunctions.udf.CIQ($B74, "IQ_EBITDA_INT",IQ_FY)</f>
        <v>3.5</v>
      </c>
      <c r="Q74" s="575">
        <f>_xll.ciqfunctions.udf.CIQ($B74, "IQ_EBITDA_CAPEX_INT",IQ_FY)</f>
        <v>1.49631</v>
      </c>
      <c r="R74" s="575">
        <f>_xll.ciqfunctions.udf.CIQ($B74, "IQ_EBIT_INT",IQ_FY)</f>
        <v>0.86681</v>
      </c>
      <c r="S74" s="575">
        <f>_xll.ciqfunctions.udf.CIQ($B74, "IQ_QUICK_RATIO",IQ_FY)</f>
        <v>0.44273</v>
      </c>
      <c r="T74" s="575">
        <f>_xll.ciqfunctions.udf.CIQ($B74, "IQ_CURRENT_RATIO",IQ_FY)</f>
        <v>0.53817</v>
      </c>
      <c r="U74" s="75" t="str">
        <f>_xll.ciqfunctions.udf.CIQ($B74, "IQ_SP_LC_LT",Current)</f>
        <v>BB</v>
      </c>
      <c r="V74" s="75" t="str">
        <f>_xll.ciqfunctions.udf.CIQ($B74, "IQ_SP_OUTLOOK_WATCH",Current)</f>
        <v>Stable</v>
      </c>
      <c r="W74" s="8"/>
      <c r="X74" s="627">
        <f>I102</f>
        <v>0</v>
      </c>
      <c r="Y74" s="40"/>
      <c r="Z74" s="8" t="e">
        <f>Z55</f>
        <v>#NAME?</v>
      </c>
      <c r="AA74" s="8"/>
      <c r="AB74" s="75">
        <f>I101</f>
        <v>0</v>
      </c>
      <c r="AC74" s="570" t="e">
        <f>_xll.ciqfunctions.udf.CIQ($X74, "IQ_EFFECT_TAX_RATE",IQ_FY)/100</f>
        <v>#VALUE!</v>
      </c>
      <c r="AD74" s="609" t="e">
        <f>_xll.ciqfunctions.udf.CIQ($X74, "IQ_BETA_5YR",Current_Date)</f>
        <v>#NAME?</v>
      </c>
      <c r="AE74" s="570" t="e">
        <f>_xll.ciqfunctions.udf.CIQ($X74, "IQ_DIVIDEND_YIELD",Current_Date)/100</f>
        <v>#NAME?</v>
      </c>
      <c r="AF74" s="570" t="e">
        <f>(_xll.ciqfunctions.udf.CIQ($X74,"IQ_OPER_INC",IQ_LTM)*(1-AC74))/(((_xll.ciqfunctions.udf.CIQ($X74,"IQ_TOTAL_DEBT",IQ_LTM))+_xll.ciqfunctions.udf.CIQ($X74,"IQ_TOTAL_EQUITY",IQ_LTM))-_xll.ciqfunctions.udf.CIQ($X74,"IQ_CASH_EQUIV",IQ_LTM))</f>
        <v>#VALUE!</v>
      </c>
      <c r="AG74" s="570" t="e">
        <f>_xll.ciqfunctions.udf.CIQ($X74, "IQ_RETURN_EQUITY",IQ_LTM)/100</f>
        <v>#VALUE!</v>
      </c>
      <c r="AH74" s="570" t="e">
        <f>_xll.ciqfunctions.udf.CIQ($X74, "IQ_RETURN_ASSETS",IQ_LTM)/100</f>
        <v>#VALUE!</v>
      </c>
      <c r="AI74" s="575" t="e">
        <f>_xll.ciqfunctions.udf.CIQ($X74, "IQ_TOTAL_DEBT_CAPITAL",IQ_FY)/100</f>
        <v>#VALUE!</v>
      </c>
      <c r="AJ74" s="575" t="str">
        <f>_xll.ciqfunctions.udf.CIQ($X74, "IQ_TOTAL_DEBT_EBITDA",IQ_FY)</f>
        <v>(Invalid Identifier)</v>
      </c>
      <c r="AK74" s="575" t="e">
        <f>_xll.ciqfunctions.udf.CIQ($X74, "IQ_TOTAL_DEBT_EQUITY",IQ_FY)/100</f>
        <v>#VALUE!</v>
      </c>
      <c r="AL74" s="575" t="str">
        <f>_xll.ciqfunctions.udf.CIQ($X74, "IQ_EBITDA_INT",IQ_FY)</f>
        <v>(Invalid Identifier)</v>
      </c>
      <c r="AM74" s="575" t="str">
        <f>_xll.ciqfunctions.udf.CIQ($X74, "IQ_EBITDA_CAPEX_INT",IQ_FY)</f>
        <v>(Invalid Identifier)</v>
      </c>
      <c r="AN74" s="575" t="str">
        <f>_xll.ciqfunctions.udf.CIQ($X74, "IQ_EBIT_INT",IQ_FY)</f>
        <v>(Invalid Identifier)</v>
      </c>
      <c r="AO74" s="609" t="str">
        <f>_xll.ciqfunctions.udf.CIQ($X74, "IQ_QUICK_RATIO",IQ_FY)</f>
        <v>(Invalid Identifier)</v>
      </c>
      <c r="AP74" s="609" t="str">
        <f>_xll.ciqfunctions.udf.CIQ($X74, "IQ_CURRENT_RATIO",IQ_FY)</f>
        <v>(Invalid Identifier)</v>
      </c>
      <c r="AQ74" s="75" t="str">
        <f>_xll.ciqfunctions.udf.CIQ($X74, "IQ_SP_LC_LT",Current)</f>
        <v>(Invalid Identifier)</v>
      </c>
      <c r="AR74" s="75" t="str">
        <f>_xll.ciqfunctions.udf.CIQ($X74, "IQ_SP_OUTLOOK_WATCH",Current)</f>
        <v>(Invalid Identifier)</v>
      </c>
      <c r="AS74" s="4"/>
      <c r="AT74" s="627">
        <f>N102</f>
        <v>0</v>
      </c>
      <c r="AU74" s="40">
        <f>AU100</f>
        <v>0</v>
      </c>
      <c r="AV74" s="8" t="e">
        <f>AV55</f>
        <v>#NAME?</v>
      </c>
      <c r="AW74" s="8"/>
      <c r="AX74" s="75">
        <f>AX55</f>
        <v>0</v>
      </c>
      <c r="AY74" s="570" t="e">
        <f>_xll.ciqfunctions.udf.CIQ($AT74, "IQ_EFFECT_TAX_RATE",IQ_FY)/100</f>
        <v>#VALUE!</v>
      </c>
      <c r="AZ74" s="609" t="e">
        <f>_xll.ciqfunctions.udf.CIQ($AT74, "IQ_BETA_5YR",Current_Date)</f>
        <v>#NAME?</v>
      </c>
      <c r="BA74" s="570" t="e">
        <f>_xll.ciqfunctions.udf.CIQ($AT74, "IQ_DIVIDEND_YIELD",Current_Date)/100</f>
        <v>#NAME?</v>
      </c>
      <c r="BB74" s="570" t="e">
        <f>(_xll.ciqfunctions.udf.CIQ($AT74,"IQ_OPER_INC",IQ_LTM)*(1-AY74))/(((_xll.ciqfunctions.udf.CIQ($AT74,"IQ_TOTAL_DEBT",IQ_LTM))+_xll.ciqfunctions.udf.CIQ($AT74,"IQ_TOTAL_EQUITY",IQ_LTM))-_xll.ciqfunctions.udf.CIQ($AT74,"IQ_CASH_EQUIV",IQ_LTM))</f>
        <v>#VALUE!</v>
      </c>
      <c r="BC74" s="570" t="e">
        <f>_xll.ciqfunctions.udf.CIQ($AT74, "IQ_RETURN_EQUITY",IQ_LTM)/100</f>
        <v>#VALUE!</v>
      </c>
      <c r="BD74" s="570" t="e">
        <f>_xll.ciqfunctions.udf.CIQ($AT74, "IQ_RETURN_ASSETS",IQ_LTM)/100</f>
        <v>#VALUE!</v>
      </c>
      <c r="BE74" s="575" t="e">
        <f>_xll.ciqfunctions.udf.CIQ($AT74, "IQ_TOTAL_DEBT_CAPITAL",IQ_FY)/100</f>
        <v>#VALUE!</v>
      </c>
      <c r="BF74" s="575" t="str">
        <f>_xll.ciqfunctions.udf.CIQ($AT74, "IQ_TOTAL_DEBT_EBITDA",IQ_FY)</f>
        <v>(Invalid Identifier)</v>
      </c>
      <c r="BG74" s="575" t="e">
        <f>_xll.ciqfunctions.udf.CIQ($AT74, "IQ_TOTAL_DEBT_EQUITY",IQ_FY)/100</f>
        <v>#VALUE!</v>
      </c>
      <c r="BH74" s="575" t="str">
        <f>_xll.ciqfunctions.udf.CIQ($AT74, "IQ_EBITDA_INT",IQ_FY)</f>
        <v>(Invalid Identifier)</v>
      </c>
      <c r="BI74" s="575" t="str">
        <f>_xll.ciqfunctions.udf.CIQ($AT74, "IQ_EBITDA_CAPEX_INT",IQ_FY)</f>
        <v>(Invalid Identifier)</v>
      </c>
      <c r="BJ74" s="575" t="str">
        <f>_xll.ciqfunctions.udf.CIQ($AT74, "IQ_EBIT_INT",IQ_FY)</f>
        <v>(Invalid Identifier)</v>
      </c>
      <c r="BK74" s="609" t="str">
        <f>_xll.ciqfunctions.udf.CIQ($AT74, "IQ_QUICK_RATIO",IQ_FY)</f>
        <v>(Invalid Identifier)</v>
      </c>
      <c r="BL74" s="609" t="str">
        <f>_xll.ciqfunctions.udf.CIQ($AT74, "IQ_CURRENT_RATIO",IQ_FY)</f>
        <v>(Invalid Identifier)</v>
      </c>
      <c r="BM74" s="75" t="str">
        <f>_xll.ciqfunctions.udf.CIQ($AT74, "IQ_SP_LC_LT",Current)</f>
        <v>(Invalid Identifier)</v>
      </c>
      <c r="BN74" s="75" t="str">
        <f>_xll.ciqfunctions.udf.CIQ($AT74, "IQ_SP_OUTLOOK_WATCH",Current)</f>
        <v>(Invalid Identifier)</v>
      </c>
    </row>
    <row r="75" ht="13.5" customHeight="1" hidden="1" spans="1:66" x14ac:dyDescent="0.25" outlineLevel="1" collapsed="1">
      <c r="A75" s="4"/>
      <c r="B75" s="627" t="str">
        <f>E106</f>
        <v>IQ26175</v>
      </c>
      <c r="C75" s="627"/>
      <c r="D75" s="8" t="e">
        <f>D56</f>
        <v>#NAME?</v>
      </c>
      <c r="E75" s="8"/>
      <c r="F75" s="75" t="str">
        <f>E105</f>
        <v>CWST</v>
      </c>
      <c r="G75" s="570">
        <f>_xll.ciqfunctions.udf.CIQ($B75, "IQ_EFFECT_TAX_RATE",IQ_FY)/100</f>
        <v>0.356898</v>
      </c>
      <c r="H75" s="609" t="e">
        <f>_xll.ciqfunctions.udf.CIQ($B75, "IQ_BETA_5YR",Current_Date)</f>
        <v>#NAME?</v>
      </c>
      <c r="I75" s="570" t="e">
        <f>_xll.ciqfunctions.udf.CIQ($B75, "IQ_DIVIDEND_YIELD",Current_Date)/100</f>
        <v>#NAME?</v>
      </c>
      <c r="J75" s="570">
        <f>(_xll.ciqfunctions.udf.CIQ($B75,"IQ_OPER_INC",IQ_LTM)*(1-G75))/(((_xll.ciqfunctions.udf.CIQ($B75,"IQ_TOTAL_DEBT",IQ_LTM))+_xll.ciqfunctions.udf.CIQ($B75,"IQ_TOTAL_EQUITY",IQ_LTM))-_xll.ciqfunctions.udf.CIQ($B75,"IQ_CASH_EQUIV",IQ_LTM))</f>
        <v>0.022531302837261326</v>
      </c>
      <c r="K75" s="570">
        <f>_xll.ciqfunctions.udf.CIQ($B75, "IQ_RETURN_EQUITY",IQ_LTM)/100</f>
        <v>0.009847</v>
      </c>
      <c r="L75" s="570">
        <f>_xll.ciqfunctions.udf.CIQ($B75, "IQ_RETURN_ASSETS",IQ_LTM)/100</f>
        <v>0.017881</v>
      </c>
      <c r="M75" s="575">
        <f>_xll.ciqfunctions.udf.CIQ($B75, "IQ_TOTAL_DEBT_CAPITAL",IQ_FY)/100</f>
        <v>0.438444</v>
      </c>
      <c r="N75" s="575">
        <f>_xll.ciqfunctions.udf.CIQ($B75, "IQ_TOTAL_DEBT_EBITDA",IQ_FY)</f>
        <v>3.29607</v>
      </c>
      <c r="O75" s="575">
        <f>_xll.ciqfunctions.udf.CIQ($B75, "IQ_TOTAL_DEBT_EQUITY",IQ_FY)/100</f>
        <v>0.780766</v>
      </c>
      <c r="P75" s="575">
        <f>_xll.ciqfunctions.udf.CIQ($B75, "IQ_EBITDA_INT",IQ_FY)</f>
        <v>5.88614</v>
      </c>
      <c r="Q75" s="575">
        <f>_xll.ciqfunctions.udf.CIQ($B75, "IQ_EBITDA_CAPEX_INT",IQ_FY)</f>
        <v>2.62987</v>
      </c>
      <c r="R75" s="575">
        <f>_xll.ciqfunctions.udf.CIQ($B75, "IQ_EBIT_INT",IQ_FY)</f>
        <v>1.67096</v>
      </c>
      <c r="S75" s="575">
        <f>_xll.ciqfunctions.udf.CIQ($B75, "IQ_QUICK_RATIO",IQ_FY)</f>
        <v>1.74775</v>
      </c>
      <c r="T75" s="575">
        <f>_xll.ciqfunctions.udf.CIQ($B75, "IQ_CURRENT_RATIO",IQ_FY)</f>
        <v>1.99568</v>
      </c>
      <c r="U75" s="75" t="str">
        <f>_xll.ciqfunctions.udf.CIQ($B75, "IQ_SP_LC_LT",Current)</f>
        <v>BB</v>
      </c>
      <c r="V75" s="75" t="str">
        <f>_xll.ciqfunctions.udf.CIQ($B75, "IQ_SP_OUTLOOK_WATCH",Current)</f>
        <v>Stable</v>
      </c>
      <c r="W75" s="8"/>
      <c r="X75" s="627">
        <f>I106</f>
        <v>0</v>
      </c>
      <c r="Y75" s="40"/>
      <c r="Z75" s="8" t="e">
        <f>Z56</f>
        <v>#NAME?</v>
      </c>
      <c r="AA75" s="8"/>
      <c r="AB75" s="75">
        <f>I105</f>
        <v>0</v>
      </c>
      <c r="AC75" s="570" t="e">
        <f>_xll.ciqfunctions.udf.CIQ($X75, "IQ_EFFECT_TAX_RATE",IQ_FY)/100</f>
        <v>#VALUE!</v>
      </c>
      <c r="AD75" s="609" t="e">
        <f>_xll.ciqfunctions.udf.CIQ($X75, "IQ_BETA_5YR",Current_Date)</f>
        <v>#NAME?</v>
      </c>
      <c r="AE75" s="570" t="e">
        <f>_xll.ciqfunctions.udf.CIQ($X75, "IQ_DIVIDEND_YIELD",Current_Date)/100</f>
        <v>#NAME?</v>
      </c>
      <c r="AF75" s="570" t="e">
        <f>(_xll.ciqfunctions.udf.CIQ($X75,"IQ_OPER_INC",IQ_LTM)*(1-AC75))/(((_xll.ciqfunctions.udf.CIQ($X75,"IQ_TOTAL_DEBT",IQ_LTM))+_xll.ciqfunctions.udf.CIQ($X75,"IQ_TOTAL_EQUITY",IQ_LTM))-_xll.ciqfunctions.udf.CIQ($X75,"IQ_CASH_EQUIV",IQ_LTM))</f>
        <v>#VALUE!</v>
      </c>
      <c r="AG75" s="570" t="e">
        <f>_xll.ciqfunctions.udf.CIQ($X75, "IQ_RETURN_EQUITY",IQ_LTM)/100</f>
        <v>#VALUE!</v>
      </c>
      <c r="AH75" s="570" t="e">
        <f>_xll.ciqfunctions.udf.CIQ($X75, "IQ_RETURN_ASSETS",IQ_LTM)/100</f>
        <v>#VALUE!</v>
      </c>
      <c r="AI75" s="575" t="e">
        <f>_xll.ciqfunctions.udf.CIQ($X75, "IQ_TOTAL_DEBT_CAPITAL",IQ_FY)/100</f>
        <v>#VALUE!</v>
      </c>
      <c r="AJ75" s="575" t="str">
        <f>_xll.ciqfunctions.udf.CIQ($X75, "IQ_TOTAL_DEBT_EBITDA",IQ_FY)</f>
        <v>(Invalid Identifier)</v>
      </c>
      <c r="AK75" s="575" t="e">
        <f>_xll.ciqfunctions.udf.CIQ($X75, "IQ_TOTAL_DEBT_EQUITY",IQ_FY)/100</f>
        <v>#VALUE!</v>
      </c>
      <c r="AL75" s="575" t="str">
        <f>_xll.ciqfunctions.udf.CIQ($X75, "IQ_EBITDA_INT",IQ_FY)</f>
        <v>(Invalid Identifier)</v>
      </c>
      <c r="AM75" s="575" t="str">
        <f>_xll.ciqfunctions.udf.CIQ($X75, "IQ_EBITDA_CAPEX_INT",IQ_FY)</f>
        <v>(Invalid Identifier)</v>
      </c>
      <c r="AN75" s="575" t="str">
        <f>_xll.ciqfunctions.udf.CIQ($X75, "IQ_EBIT_INT",IQ_FY)</f>
        <v>(Invalid Identifier)</v>
      </c>
      <c r="AO75" s="609" t="str">
        <f>_xll.ciqfunctions.udf.CIQ($X75, "IQ_QUICK_RATIO",IQ_FY)</f>
        <v>(Invalid Identifier)</v>
      </c>
      <c r="AP75" s="609" t="str">
        <f>_xll.ciqfunctions.udf.CIQ($X75, "IQ_CURRENT_RATIO",IQ_FY)</f>
        <v>(Invalid Identifier)</v>
      </c>
      <c r="AQ75" s="75" t="str">
        <f>_xll.ciqfunctions.udf.CIQ($X75, "IQ_SP_LC_LT",Current)</f>
        <v>(Invalid Identifier)</v>
      </c>
      <c r="AR75" s="75" t="str">
        <f>_xll.ciqfunctions.udf.CIQ($X75, "IQ_SP_OUTLOOK_WATCH",Current)</f>
        <v>(Invalid Identifier)</v>
      </c>
      <c r="AS75" s="4"/>
      <c r="AT75" s="627">
        <f>N106</f>
        <v>0</v>
      </c>
      <c r="AU75" s="40">
        <f>AU104</f>
        <v>0</v>
      </c>
      <c r="AV75" s="8" t="e">
        <f>AV56</f>
        <v>#NAME?</v>
      </c>
      <c r="AW75" s="8"/>
      <c r="AX75" s="75">
        <f>AX56</f>
        <v>0</v>
      </c>
      <c r="AY75" s="570" t="e">
        <f>_xll.ciqfunctions.udf.CIQ($AT75, "IQ_EFFECT_TAX_RATE",IQ_FY)/100</f>
        <v>#VALUE!</v>
      </c>
      <c r="AZ75" s="609" t="e">
        <f>_xll.ciqfunctions.udf.CIQ($AT75, "IQ_BETA_5YR",Current_Date)</f>
        <v>#NAME?</v>
      </c>
      <c r="BA75" s="570" t="e">
        <f>_xll.ciqfunctions.udf.CIQ($AT75, "IQ_DIVIDEND_YIELD",Current_Date)/100</f>
        <v>#NAME?</v>
      </c>
      <c r="BB75" s="570" t="e">
        <f>(_xll.ciqfunctions.udf.CIQ($AT75,"IQ_OPER_INC",IQ_LTM)*(1-AY75))/(((_xll.ciqfunctions.udf.CIQ($AT75,"IQ_TOTAL_DEBT",IQ_LTM))+_xll.ciqfunctions.udf.CIQ($AT75,"IQ_TOTAL_EQUITY",IQ_LTM))-_xll.ciqfunctions.udf.CIQ($AT75,"IQ_CASH_EQUIV",IQ_LTM))</f>
        <v>#VALUE!</v>
      </c>
      <c r="BC75" s="570" t="e">
        <f>_xll.ciqfunctions.udf.CIQ($AT75, "IQ_RETURN_EQUITY",IQ_LTM)/100</f>
        <v>#VALUE!</v>
      </c>
      <c r="BD75" s="570" t="e">
        <f>_xll.ciqfunctions.udf.CIQ($AT75, "IQ_RETURN_ASSETS",IQ_LTM)/100</f>
        <v>#VALUE!</v>
      </c>
      <c r="BE75" s="575" t="e">
        <f>_xll.ciqfunctions.udf.CIQ($AT75, "IQ_TOTAL_DEBT_CAPITAL",IQ_FY)/100</f>
        <v>#VALUE!</v>
      </c>
      <c r="BF75" s="575" t="str">
        <f>_xll.ciqfunctions.udf.CIQ($AT75, "IQ_TOTAL_DEBT_EBITDA",IQ_FY)</f>
        <v>(Invalid Identifier)</v>
      </c>
      <c r="BG75" s="575" t="e">
        <f>_xll.ciqfunctions.udf.CIQ($AT75, "IQ_TOTAL_DEBT_EQUITY",IQ_FY)/100</f>
        <v>#VALUE!</v>
      </c>
      <c r="BH75" s="575" t="str">
        <f>_xll.ciqfunctions.udf.CIQ($AT75, "IQ_EBITDA_INT",IQ_FY)</f>
        <v>(Invalid Identifier)</v>
      </c>
      <c r="BI75" s="575" t="str">
        <f>_xll.ciqfunctions.udf.CIQ($AT75, "IQ_EBITDA_CAPEX_INT",IQ_FY)</f>
        <v>(Invalid Identifier)</v>
      </c>
      <c r="BJ75" s="575" t="str">
        <f>_xll.ciqfunctions.udf.CIQ($AT75, "IQ_EBIT_INT",IQ_FY)</f>
        <v>(Invalid Identifier)</v>
      </c>
      <c r="BK75" s="609" t="str">
        <f>_xll.ciqfunctions.udf.CIQ($AT75, "IQ_QUICK_RATIO",IQ_FY)</f>
        <v>(Invalid Identifier)</v>
      </c>
      <c r="BL75" s="609" t="str">
        <f>_xll.ciqfunctions.udf.CIQ($AT75, "IQ_CURRENT_RATIO",IQ_FY)</f>
        <v>(Invalid Identifier)</v>
      </c>
      <c r="BM75" s="75" t="str">
        <f>_xll.ciqfunctions.udf.CIQ($AT75, "IQ_SP_LC_LT",Current)</f>
        <v>(Invalid Identifier)</v>
      </c>
      <c r="BN75" s="75" t="str">
        <f>_xll.ciqfunctions.udf.CIQ($AT75, "IQ_SP_OUTLOOK_WATCH",Current)</f>
        <v>(Invalid Identifier)</v>
      </c>
    </row>
    <row r="76" ht="13.5" customHeight="1" hidden="1" spans="1:66" x14ac:dyDescent="0.25" outlineLevel="1" collapsed="1">
      <c r="A76" s="4"/>
      <c r="B76" s="627" t="str">
        <f>E110</f>
        <v>IQ26565</v>
      </c>
      <c r="C76" s="627"/>
      <c r="D76" s="8" t="e">
        <f>D57</f>
        <v>#NAME?</v>
      </c>
      <c r="E76" s="8"/>
      <c r="F76" s="75" t="str">
        <f>E109</f>
        <v>CLH</v>
      </c>
      <c r="G76" s="570">
        <f>_xll.ciqfunctions.udf.CIQ($B76, "IQ_EFFECT_TAX_RATE",IQ_FY)/100</f>
        <v>0.24584399999999998</v>
      </c>
      <c r="H76" s="609" t="e">
        <f>_xll.ciqfunctions.udf.CIQ($B76, "IQ_BETA_5YR",Current_Date)</f>
        <v>#NAME?</v>
      </c>
      <c r="I76" s="570" t="e">
        <f>_xll.ciqfunctions.udf.CIQ($B76, "IQ_DIVIDEND_YIELD",Current_Date)/100</f>
        <v>#NAME?</v>
      </c>
      <c r="J76" s="570">
        <f>(_xll.ciqfunctions.udf.CIQ($B76,"IQ_OPER_INC",IQ_LTM)*(1-G76))/(((_xll.ciqfunctions.udf.CIQ($B76,"IQ_TOTAL_DEBT",IQ_LTM))+_xll.ciqfunctions.udf.CIQ($B76,"IQ_TOTAL_EQUITY",IQ_LTM))-_xll.ciqfunctions.udf.CIQ($B76,"IQ_CASH_EQUIV",IQ_LTM))</f>
        <v>0.09391942397486261</v>
      </c>
      <c r="K76" s="570">
        <f>_xll.ciqfunctions.udf.CIQ($B76, "IQ_RETURN_EQUITY",IQ_LTM)/100</f>
        <v>0.14643499999999998</v>
      </c>
      <c r="L76" s="570">
        <f>_xll.ciqfunctions.udf.CIQ($B76, "IQ_RETURN_ASSETS",IQ_LTM)/100</f>
        <v>0.054886</v>
      </c>
      <c r="M76" s="575">
        <f>_xll.ciqfunctions.udf.CIQ($B76, "IQ_TOTAL_DEBT_CAPITAL",IQ_FY)/100</f>
        <v>0.556364</v>
      </c>
      <c r="N76" s="575">
        <f>_xll.ciqfunctions.udf.CIQ($B76, "IQ_TOTAL_DEBT_EBITDA",IQ_FY)</f>
        <v>2.37743</v>
      </c>
      <c r="O76" s="575">
        <f>_xll.ciqfunctions.udf.CIQ($B76, "IQ_TOTAL_DEBT_EQUITY",IQ_FY)/100</f>
        <v>1.254102</v>
      </c>
      <c r="P76" s="575">
        <f>_xll.ciqfunctions.udf.CIQ($B76, "IQ_EBITDA_INT",IQ_FY)</f>
        <v>8.79233</v>
      </c>
      <c r="Q76" s="575">
        <f>_xll.ciqfunctions.udf.CIQ($B76, "IQ_EBITDA_CAPEX_INT",IQ_FY)</f>
        <v>5.99286</v>
      </c>
      <c r="R76" s="575">
        <f>_xll.ciqfunctions.udf.CIQ($B76, "IQ_EBIT_INT",IQ_FY)</f>
        <v>4.34085</v>
      </c>
      <c r="S76" s="575">
        <f>_xll.ciqfunctions.udf.CIQ($B76, "IQ_QUICK_RATIO",IQ_FY)</f>
        <v>1.78422</v>
      </c>
      <c r="T76" s="575">
        <f>_xll.ciqfunctions.udf.CIQ($B76, "IQ_CURRENT_RATIO",IQ_FY)</f>
        <v>2.20719</v>
      </c>
      <c r="U76" s="75" t="str">
        <f>_xll.ciqfunctions.udf.CIQ($B76, "IQ_SP_LC_LT",Current)</f>
        <v>BB+</v>
      </c>
      <c r="V76" s="75" t="str">
        <f>_xll.ciqfunctions.udf.CIQ($B76, "IQ_SP_OUTLOOK_WATCH",Current)</f>
        <v>Stable</v>
      </c>
      <c r="W76" s="8"/>
      <c r="X76" s="627">
        <f>I110</f>
        <v>0</v>
      </c>
      <c r="Y76" s="40"/>
      <c r="Z76" s="8" t="e">
        <f>Z57</f>
        <v>#NAME?</v>
      </c>
      <c r="AA76" s="8"/>
      <c r="AB76" s="75">
        <f>I109</f>
        <v>0</v>
      </c>
      <c r="AC76" s="570" t="e">
        <f>_xll.ciqfunctions.udf.CIQ($X76, "IQ_EFFECT_TAX_RATE",IQ_FY)/100</f>
        <v>#VALUE!</v>
      </c>
      <c r="AD76" s="609" t="e">
        <f>_xll.ciqfunctions.udf.CIQ($X76, "IQ_BETA_5YR",Current_Date)</f>
        <v>#NAME?</v>
      </c>
      <c r="AE76" s="570" t="e">
        <f>_xll.ciqfunctions.udf.CIQ($X76, "IQ_DIVIDEND_YIELD",Current_Date)/100</f>
        <v>#NAME?</v>
      </c>
      <c r="AF76" s="570" t="e">
        <f>(_xll.ciqfunctions.udf.CIQ($X76,"IQ_OPER_INC",IQ_LTM)*(1-AC76))/(((_xll.ciqfunctions.udf.CIQ($X76,"IQ_TOTAL_DEBT",IQ_LTM))+_xll.ciqfunctions.udf.CIQ($X76,"IQ_TOTAL_EQUITY",IQ_LTM))-_xll.ciqfunctions.udf.CIQ($X76,"IQ_CASH_EQUIV",IQ_LTM))</f>
        <v>#VALUE!</v>
      </c>
      <c r="AG76" s="570" t="e">
        <f>_xll.ciqfunctions.udf.CIQ($X76, "IQ_RETURN_EQUITY",IQ_LTM)/100</f>
        <v>#VALUE!</v>
      </c>
      <c r="AH76" s="570" t="e">
        <f>_xll.ciqfunctions.udf.CIQ($X76, "IQ_RETURN_ASSETS",IQ_LTM)/100</f>
        <v>#VALUE!</v>
      </c>
      <c r="AI76" s="575" t="e">
        <f>_xll.ciqfunctions.udf.CIQ($X76, "IQ_TOTAL_DEBT_CAPITAL",IQ_FY)/100</f>
        <v>#VALUE!</v>
      </c>
      <c r="AJ76" s="575" t="str">
        <f>_xll.ciqfunctions.udf.CIQ($X76, "IQ_TOTAL_DEBT_EBITDA",IQ_FY)</f>
        <v>(Invalid Identifier)</v>
      </c>
      <c r="AK76" s="575" t="e">
        <f>_xll.ciqfunctions.udf.CIQ($X76, "IQ_TOTAL_DEBT_EQUITY",IQ_FY)/100</f>
        <v>#VALUE!</v>
      </c>
      <c r="AL76" s="575" t="str">
        <f>_xll.ciqfunctions.udf.CIQ($X76, "IQ_EBITDA_INT",IQ_FY)</f>
        <v>(Invalid Identifier)</v>
      </c>
      <c r="AM76" s="575" t="str">
        <f>_xll.ciqfunctions.udf.CIQ($X76, "IQ_EBITDA_CAPEX_INT",IQ_FY)</f>
        <v>(Invalid Identifier)</v>
      </c>
      <c r="AN76" s="575" t="str">
        <f>_xll.ciqfunctions.udf.CIQ($X76, "IQ_EBIT_INT",IQ_FY)</f>
        <v>(Invalid Identifier)</v>
      </c>
      <c r="AO76" s="609" t="str">
        <f>_xll.ciqfunctions.udf.CIQ($X76, "IQ_QUICK_RATIO",IQ_FY)</f>
        <v>(Invalid Identifier)</v>
      </c>
      <c r="AP76" s="609" t="str">
        <f>_xll.ciqfunctions.udf.CIQ($X76, "IQ_CURRENT_RATIO",IQ_FY)</f>
        <v>(Invalid Identifier)</v>
      </c>
      <c r="AQ76" s="75" t="str">
        <f>_xll.ciqfunctions.udf.CIQ($X76, "IQ_SP_LC_LT",Current)</f>
        <v>(Invalid Identifier)</v>
      </c>
      <c r="AR76" s="75" t="str">
        <f>_xll.ciqfunctions.udf.CIQ($X76, "IQ_SP_OUTLOOK_WATCH",Current)</f>
        <v>(Invalid Identifier)</v>
      </c>
      <c r="AS76" s="4"/>
      <c r="AT76" s="627">
        <f>N110</f>
        <v>0</v>
      </c>
      <c r="AU76" s="40">
        <f>AU108</f>
        <v>0</v>
      </c>
      <c r="AV76" s="8" t="e">
        <f>AV57</f>
        <v>#NAME?</v>
      </c>
      <c r="AW76" s="8"/>
      <c r="AX76" s="75">
        <f>AX57</f>
        <v>0</v>
      </c>
      <c r="AY76" s="570" t="e">
        <f>_xll.ciqfunctions.udf.CIQ($AT76, "IQ_EFFECT_TAX_RATE",IQ_FY)/100</f>
        <v>#VALUE!</v>
      </c>
      <c r="AZ76" s="609" t="e">
        <f>_xll.ciqfunctions.udf.CIQ($AT76, "IQ_BETA_5YR",Current_Date)</f>
        <v>#NAME?</v>
      </c>
      <c r="BA76" s="570" t="e">
        <f>_xll.ciqfunctions.udf.CIQ($AT76, "IQ_DIVIDEND_YIELD",Current_Date)/100</f>
        <v>#NAME?</v>
      </c>
      <c r="BB76" s="570" t="e">
        <f>(_xll.ciqfunctions.udf.CIQ($AT76,"IQ_OPER_INC",IQ_LTM)*(1-AY76))/(((_xll.ciqfunctions.udf.CIQ($AT76,"IQ_TOTAL_DEBT",IQ_LTM))+_xll.ciqfunctions.udf.CIQ($AT76,"IQ_TOTAL_EQUITY",IQ_LTM))-_xll.ciqfunctions.udf.CIQ($AT76,"IQ_CASH_EQUIV",IQ_LTM))</f>
        <v>#VALUE!</v>
      </c>
      <c r="BC76" s="570" t="e">
        <f>_xll.ciqfunctions.udf.CIQ($AT76, "IQ_RETURN_EQUITY",IQ_LTM)/100</f>
        <v>#VALUE!</v>
      </c>
      <c r="BD76" s="570" t="e">
        <f>_xll.ciqfunctions.udf.CIQ($AT76, "IQ_RETURN_ASSETS",IQ_LTM)/100</f>
        <v>#VALUE!</v>
      </c>
      <c r="BE76" s="575" t="e">
        <f>_xll.ciqfunctions.udf.CIQ($AT76, "IQ_TOTAL_DEBT_CAPITAL",IQ_FY)/100</f>
        <v>#VALUE!</v>
      </c>
      <c r="BF76" s="575" t="str">
        <f>_xll.ciqfunctions.udf.CIQ($AT76, "IQ_TOTAL_DEBT_EBITDA",IQ_FY)</f>
        <v>(Invalid Identifier)</v>
      </c>
      <c r="BG76" s="575" t="e">
        <f>_xll.ciqfunctions.udf.CIQ($AT76, "IQ_TOTAL_DEBT_EQUITY",IQ_FY)/100</f>
        <v>#VALUE!</v>
      </c>
      <c r="BH76" s="575" t="str">
        <f>_xll.ciqfunctions.udf.CIQ($AT76, "IQ_EBITDA_INT",IQ_FY)</f>
        <v>(Invalid Identifier)</v>
      </c>
      <c r="BI76" s="575" t="str">
        <f>_xll.ciqfunctions.udf.CIQ($AT76, "IQ_EBITDA_CAPEX_INT",IQ_FY)</f>
        <v>(Invalid Identifier)</v>
      </c>
      <c r="BJ76" s="575" t="str">
        <f>_xll.ciqfunctions.udf.CIQ($AT76, "IQ_EBIT_INT",IQ_FY)</f>
        <v>(Invalid Identifier)</v>
      </c>
      <c r="BK76" s="609" t="str">
        <f>_xll.ciqfunctions.udf.CIQ($AT76, "IQ_QUICK_RATIO",IQ_FY)</f>
        <v>(Invalid Identifier)</v>
      </c>
      <c r="BL76" s="609" t="str">
        <f>_xll.ciqfunctions.udf.CIQ($AT76, "IQ_CURRENT_RATIO",IQ_FY)</f>
        <v>(Invalid Identifier)</v>
      </c>
      <c r="BM76" s="75" t="str">
        <f>_xll.ciqfunctions.udf.CIQ($AT76, "IQ_SP_LC_LT",Current)</f>
        <v>(Invalid Identifier)</v>
      </c>
      <c r="BN76" s="75" t="str">
        <f>_xll.ciqfunctions.udf.CIQ($AT76, "IQ_SP_OUTLOOK_WATCH",Current)</f>
        <v>(Invalid Identifier)</v>
      </c>
    </row>
    <row r="77" ht="13.5" customHeight="1" hidden="1" spans="1:66" x14ac:dyDescent="0.25" outlineLevel="1" collapsed="1">
      <c r="A77" s="4"/>
      <c r="B77" s="4"/>
      <c r="C77" s="4"/>
      <c r="D77" s="122"/>
      <c r="E77" s="8"/>
      <c r="F77" s="75"/>
      <c r="G77" s="635"/>
      <c r="H77" s="75"/>
      <c r="I77" s="635"/>
      <c r="J77" s="75"/>
      <c r="K77" s="75"/>
      <c r="L77" s="75"/>
      <c r="M77" s="75"/>
      <c r="N77" s="75"/>
      <c r="O77" s="563"/>
      <c r="P77" s="575"/>
      <c r="Q77" s="575"/>
      <c r="R77" s="575"/>
      <c r="S77" s="202"/>
      <c r="T77" s="75"/>
      <c r="U77" s="661"/>
      <c r="V77" s="661"/>
      <c r="W77" s="8"/>
      <c r="X77" s="4"/>
      <c r="Y77" s="40"/>
      <c r="Z77" s="122"/>
      <c r="AA77" s="8"/>
      <c r="AB77" s="75"/>
      <c r="AC77" s="635"/>
      <c r="AD77" s="75"/>
      <c r="AE77" s="635"/>
      <c r="AF77" s="75"/>
      <c r="AG77" s="75"/>
      <c r="AH77" s="75"/>
      <c r="AI77" s="75"/>
      <c r="AJ77" s="75"/>
      <c r="AK77" s="563"/>
      <c r="AL77" s="575"/>
      <c r="AM77" s="575"/>
      <c r="AN77" s="575"/>
      <c r="AO77" s="202"/>
      <c r="AP77" s="75"/>
      <c r="AQ77" s="661"/>
      <c r="AR77" s="661"/>
      <c r="AS77" s="4"/>
      <c r="AT77" s="4"/>
      <c r="AU77" s="40"/>
      <c r="AV77" s="122"/>
      <c r="AW77" s="8"/>
      <c r="AX77" s="75"/>
      <c r="AY77" s="635"/>
      <c r="AZ77" s="75"/>
      <c r="BA77" s="635"/>
      <c r="BB77" s="75"/>
      <c r="BC77" s="75"/>
      <c r="BD77" s="75"/>
      <c r="BE77" s="75"/>
      <c r="BF77" s="75"/>
      <c r="BG77" s="563"/>
      <c r="BH77" s="575"/>
      <c r="BI77" s="575"/>
      <c r="BJ77" s="575"/>
      <c r="BK77" s="202"/>
      <c r="BL77" s="75"/>
      <c r="BM77" s="661"/>
      <c r="BN77" s="661"/>
    </row>
    <row r="78" ht="13.5" customHeight="1" hidden="1" spans="1:66" x14ac:dyDescent="0.25" outlineLevel="1" collapsed="1">
      <c r="A78" s="4"/>
      <c r="B78" s="40"/>
      <c r="C78" s="40"/>
      <c r="D78" s="636" t="str">
        <f>D36</f>
        <v>High</v>
      </c>
      <c r="E78" s="637"/>
      <c r="F78" s="638"/>
      <c r="G78" s="639" t="e">
        <f t="shared" ref="G78:T78" si="34">MAX(G72:G76)</f>
        <v>#VALUE!</v>
      </c>
      <c r="H78" s="662" t="e">
        <f t="shared" si="34"/>
        <v>#NAME?</v>
      </c>
      <c r="I78" s="640" t="e">
        <f t="shared" si="34"/>
        <v>#NAME?</v>
      </c>
      <c r="J78" s="640" t="e">
        <f t="shared" si="34"/>
        <v>#VALUE!</v>
      </c>
      <c r="K78" s="640">
        <f t="shared" si="34"/>
        <v>0.296958</v>
      </c>
      <c r="L78" s="640">
        <f t="shared" si="34"/>
        <v>0.065153</v>
      </c>
      <c r="M78" s="641">
        <f t="shared" si="34"/>
        <v>0.696303</v>
      </c>
      <c r="N78" s="640">
        <f t="shared" si="34"/>
        <v>5.06214</v>
      </c>
      <c r="O78" s="640">
        <f t="shared" si="34"/>
        <v>2.292763</v>
      </c>
      <c r="P78" s="641">
        <f t="shared" si="34"/>
        <v>8.79233</v>
      </c>
      <c r="Q78" s="641">
        <f t="shared" si="34"/>
        <v>5.99286</v>
      </c>
      <c r="R78" s="641">
        <f t="shared" si="34"/>
        <v>5.16667</v>
      </c>
      <c r="S78" s="641">
        <f t="shared" si="34"/>
        <v>1.78422</v>
      </c>
      <c r="T78" s="641">
        <f t="shared" si="34"/>
        <v>2.20719</v>
      </c>
      <c r="U78" s="642"/>
      <c r="V78" s="643"/>
      <c r="W78" s="8"/>
      <c r="X78" s="4"/>
      <c r="Y78" s="40"/>
      <c r="Z78" s="636" t="str">
        <f>Z36</f>
        <v>High</v>
      </c>
      <c r="AA78" s="637"/>
      <c r="AB78" s="638"/>
      <c r="AC78" s="639" t="e">
        <f t="shared" ref="AC78:AP78" si="35">MAX(AC72:AC76)</f>
        <v>#VALUE!</v>
      </c>
      <c r="AD78" s="662" t="e">
        <f t="shared" si="35"/>
        <v>#NAME?</v>
      </c>
      <c r="AE78" s="640" t="e">
        <f t="shared" si="35"/>
        <v>#NAME?</v>
      </c>
      <c r="AF78" s="640" t="e">
        <f t="shared" si="35"/>
        <v>#VALUE!</v>
      </c>
      <c r="AG78" s="640" t="e">
        <f t="shared" si="35"/>
        <v>#VALUE!</v>
      </c>
      <c r="AH78" s="640" t="e">
        <f t="shared" si="35"/>
        <v>#VALUE!</v>
      </c>
      <c r="AI78" s="641" t="e">
        <f t="shared" si="35"/>
        <v>#VALUE!</v>
      </c>
      <c r="AJ78" s="640">
        <f t="shared" si="35"/>
        <v>0</v>
      </c>
      <c r="AK78" s="642" t="e">
        <f t="shared" si="35"/>
        <v>#VALUE!</v>
      </c>
      <c r="AL78" s="642">
        <f t="shared" si="35"/>
        <v>0</v>
      </c>
      <c r="AM78" s="642">
        <f t="shared" si="35"/>
        <v>0</v>
      </c>
      <c r="AN78" s="642">
        <f t="shared" si="35"/>
        <v>0</v>
      </c>
      <c r="AO78" s="642">
        <f t="shared" si="35"/>
        <v>0</v>
      </c>
      <c r="AP78" s="642">
        <f t="shared" si="35"/>
        <v>0</v>
      </c>
      <c r="AQ78" s="642"/>
      <c r="AR78" s="643"/>
      <c r="AS78" s="4"/>
      <c r="AT78" s="4"/>
      <c r="AU78" s="40"/>
      <c r="AV78" s="636" t="str">
        <f>AV36</f>
        <v>High</v>
      </c>
      <c r="AW78" s="637"/>
      <c r="AX78" s="638"/>
      <c r="AY78" s="639" t="e">
        <f t="shared" ref="AY78:BL78" si="36">MAX(AY72:AY76)</f>
        <v>#VALUE!</v>
      </c>
      <c r="AZ78" s="639" t="e">
        <f t="shared" si="36"/>
        <v>#NAME?</v>
      </c>
      <c r="BA78" s="640" t="e">
        <f t="shared" si="36"/>
        <v>#NAME?</v>
      </c>
      <c r="BB78" s="640" t="e">
        <f t="shared" si="36"/>
        <v>#VALUE!</v>
      </c>
      <c r="BC78" s="640" t="e">
        <f t="shared" si="36"/>
        <v>#VALUE!</v>
      </c>
      <c r="BD78" s="640" t="e">
        <f t="shared" si="36"/>
        <v>#VALUE!</v>
      </c>
      <c r="BE78" s="640" t="e">
        <f t="shared" si="36"/>
        <v>#VALUE!</v>
      </c>
      <c r="BF78" s="640">
        <f t="shared" si="36"/>
        <v>0</v>
      </c>
      <c r="BG78" s="640" t="e">
        <f t="shared" si="36"/>
        <v>#VALUE!</v>
      </c>
      <c r="BH78" s="640">
        <f t="shared" si="36"/>
        <v>0</v>
      </c>
      <c r="BI78" s="641">
        <f t="shared" si="36"/>
        <v>0</v>
      </c>
      <c r="BJ78" s="642">
        <f t="shared" si="36"/>
        <v>0</v>
      </c>
      <c r="BK78" s="642">
        <f t="shared" si="36"/>
        <v>0</v>
      </c>
      <c r="BL78" s="642">
        <f t="shared" si="36"/>
        <v>0</v>
      </c>
      <c r="BM78" s="642"/>
      <c r="BN78" s="643"/>
    </row>
    <row r="79" ht="13.5" customHeight="1" hidden="1" spans="1:66" x14ac:dyDescent="0.25" outlineLevel="1" collapsed="1">
      <c r="A79" s="4"/>
      <c r="B79" s="40"/>
      <c r="C79" s="40"/>
      <c r="D79" s="644" t="str">
        <f>D37</f>
        <v>Mean</v>
      </c>
      <c r="E79" s="645"/>
      <c r="F79" s="646"/>
      <c r="G79" s="647" t="e">
        <f t="shared" ref="G79:T79" si="37">AVERAGE(G72:G76)</f>
        <v>#VALUE!</v>
      </c>
      <c r="H79" s="663" t="e">
        <f t="shared" si="37"/>
        <v>#NAME?</v>
      </c>
      <c r="I79" s="648" t="e">
        <f t="shared" si="37"/>
        <v>#NAME?</v>
      </c>
      <c r="J79" s="648" t="e">
        <f t="shared" si="37"/>
        <v>#VALUE!</v>
      </c>
      <c r="K79" s="648">
        <f t="shared" si="37"/>
        <v>0.109016</v>
      </c>
      <c r="L79" s="648">
        <f t="shared" si="37"/>
        <v>0.0395228</v>
      </c>
      <c r="M79" s="664">
        <f t="shared" si="37"/>
        <v>0.5603118</v>
      </c>
      <c r="N79" s="648">
        <f t="shared" si="37"/>
        <v>3.440238</v>
      </c>
      <c r="O79" s="648">
        <f t="shared" si="37"/>
        <v>1.3716078</v>
      </c>
      <c r="P79" s="664">
        <f t="shared" si="37"/>
        <v>6.79203</v>
      </c>
      <c r="Q79" s="664">
        <f t="shared" si="37"/>
        <v>3.826216</v>
      </c>
      <c r="R79" s="664">
        <f t="shared" si="37"/>
        <v>3.1593599999999995</v>
      </c>
      <c r="S79" s="664">
        <f t="shared" si="37"/>
        <v>1.060328</v>
      </c>
      <c r="T79" s="664">
        <f t="shared" si="37"/>
        <v>1.2565820000000003</v>
      </c>
      <c r="U79" s="650"/>
      <c r="V79" s="651"/>
      <c r="W79" s="8"/>
      <c r="X79" s="4"/>
      <c r="Y79" s="40"/>
      <c r="Z79" s="644" t="str">
        <f>Z37</f>
        <v>Mean</v>
      </c>
      <c r="AA79" s="645"/>
      <c r="AB79" s="646"/>
      <c r="AC79" s="647" t="e">
        <f t="shared" ref="AC79:AP79" si="38">AVERAGE(AC72:AC76)</f>
        <v>#VALUE!</v>
      </c>
      <c r="AD79" s="663" t="e">
        <f t="shared" si="38"/>
        <v>#NAME?</v>
      </c>
      <c r="AE79" s="648" t="e">
        <f t="shared" si="38"/>
        <v>#NAME?</v>
      </c>
      <c r="AF79" s="648" t="e">
        <f t="shared" si="38"/>
        <v>#VALUE!</v>
      </c>
      <c r="AG79" s="648" t="e">
        <f t="shared" si="38"/>
        <v>#VALUE!</v>
      </c>
      <c r="AH79" s="648" t="e">
        <f t="shared" si="38"/>
        <v>#VALUE!</v>
      </c>
      <c r="AI79" s="649" t="e">
        <f t="shared" si="38"/>
        <v>#VALUE!</v>
      </c>
      <c r="AJ79" s="648" t="e">
        <f t="shared" si="38"/>
        <v>#DIV/0!</v>
      </c>
      <c r="AK79" s="650" t="e">
        <f t="shared" si="38"/>
        <v>#VALUE!</v>
      </c>
      <c r="AL79" s="650" t="e">
        <f t="shared" si="38"/>
        <v>#DIV/0!</v>
      </c>
      <c r="AM79" s="650" t="e">
        <f t="shared" si="38"/>
        <v>#DIV/0!</v>
      </c>
      <c r="AN79" s="650" t="e">
        <f t="shared" si="38"/>
        <v>#DIV/0!</v>
      </c>
      <c r="AO79" s="650" t="e">
        <f t="shared" si="38"/>
        <v>#DIV/0!</v>
      </c>
      <c r="AP79" s="650" t="e">
        <f t="shared" si="38"/>
        <v>#DIV/0!</v>
      </c>
      <c r="AQ79" s="650"/>
      <c r="AR79" s="651"/>
      <c r="AS79" s="4"/>
      <c r="AT79" s="4"/>
      <c r="AU79" s="40"/>
      <c r="AV79" s="644" t="str">
        <f>AV37</f>
        <v>Mean</v>
      </c>
      <c r="AW79" s="645"/>
      <c r="AX79" s="646"/>
      <c r="AY79" s="647" t="e">
        <f t="shared" ref="AY79:BL79" si="39">AVERAGE(AY72:AY76)</f>
        <v>#VALUE!</v>
      </c>
      <c r="AZ79" s="647" t="e">
        <f t="shared" si="39"/>
        <v>#NAME?</v>
      </c>
      <c r="BA79" s="648" t="e">
        <f t="shared" si="39"/>
        <v>#NAME?</v>
      </c>
      <c r="BB79" s="648" t="e">
        <f t="shared" si="39"/>
        <v>#VALUE!</v>
      </c>
      <c r="BC79" s="648" t="e">
        <f t="shared" si="39"/>
        <v>#VALUE!</v>
      </c>
      <c r="BD79" s="648" t="e">
        <f t="shared" si="39"/>
        <v>#VALUE!</v>
      </c>
      <c r="BE79" s="648" t="e">
        <f t="shared" si="39"/>
        <v>#VALUE!</v>
      </c>
      <c r="BF79" s="648" t="e">
        <f t="shared" si="39"/>
        <v>#DIV/0!</v>
      </c>
      <c r="BG79" s="648" t="e">
        <f t="shared" si="39"/>
        <v>#VALUE!</v>
      </c>
      <c r="BH79" s="648" t="e">
        <f t="shared" si="39"/>
        <v>#DIV/0!</v>
      </c>
      <c r="BI79" s="649" t="e">
        <f t="shared" si="39"/>
        <v>#DIV/0!</v>
      </c>
      <c r="BJ79" s="650" t="e">
        <f t="shared" si="39"/>
        <v>#DIV/0!</v>
      </c>
      <c r="BK79" s="650" t="e">
        <f t="shared" si="39"/>
        <v>#DIV/0!</v>
      </c>
      <c r="BL79" s="650" t="e">
        <f t="shared" si="39"/>
        <v>#DIV/0!</v>
      </c>
      <c r="BM79" s="650"/>
      <c r="BN79" s="651"/>
    </row>
    <row r="80" ht="13.5" customHeight="1" hidden="1" spans="1:66" x14ac:dyDescent="0.25" outlineLevel="1" collapsed="1">
      <c r="A80" s="4"/>
      <c r="B80" s="40"/>
      <c r="C80" s="40"/>
      <c r="D80" s="644" t="str">
        <f>D38</f>
        <v>Median</v>
      </c>
      <c r="E80" s="645"/>
      <c r="F80" s="645"/>
      <c r="G80" s="647" t="e">
        <f t="shared" ref="G80:T80" si="40">MEDIAN(G72:G76)</f>
        <v>#VALUE!</v>
      </c>
      <c r="H80" s="663" t="e">
        <f t="shared" si="40"/>
        <v>#NAME?</v>
      </c>
      <c r="I80" s="648" t="e">
        <f t="shared" si="40"/>
        <v>#NAME?</v>
      </c>
      <c r="J80" s="648" t="e">
        <f t="shared" si="40"/>
        <v>#VALUE!</v>
      </c>
      <c r="K80" s="648">
        <f t="shared" si="40"/>
        <v>0.076069</v>
      </c>
      <c r="L80" s="648">
        <f t="shared" si="40"/>
        <v>0.038881</v>
      </c>
      <c r="M80" s="664">
        <f t="shared" si="40"/>
        <v>0.556364</v>
      </c>
      <c r="N80" s="648">
        <f t="shared" si="40"/>
        <v>3.29607</v>
      </c>
      <c r="O80" s="648">
        <f t="shared" si="40"/>
        <v>1.254102</v>
      </c>
      <c r="P80" s="664">
        <f t="shared" si="40"/>
        <v>7.47576</v>
      </c>
      <c r="Q80" s="664">
        <f t="shared" si="40"/>
        <v>4.2445</v>
      </c>
      <c r="R80" s="664">
        <f t="shared" si="40"/>
        <v>3.75151</v>
      </c>
      <c r="S80" s="664">
        <f t="shared" si="40"/>
        <v>0.77046</v>
      </c>
      <c r="T80" s="664">
        <f t="shared" si="40"/>
        <v>0.88885</v>
      </c>
      <c r="U80" s="650"/>
      <c r="V80" s="651"/>
      <c r="W80" s="8"/>
      <c r="X80" s="4"/>
      <c r="Y80" s="40"/>
      <c r="Z80" s="644" t="str">
        <f>Z38</f>
        <v>Median</v>
      </c>
      <c r="AA80" s="645"/>
      <c r="AB80" s="645"/>
      <c r="AC80" s="647" t="e">
        <f t="shared" ref="AC80:AP80" si="41">MEDIAN(AC72:AC76)</f>
        <v>#VALUE!</v>
      </c>
      <c r="AD80" s="663" t="e">
        <f t="shared" si="41"/>
        <v>#NAME?</v>
      </c>
      <c r="AE80" s="648" t="e">
        <f t="shared" si="41"/>
        <v>#NAME?</v>
      </c>
      <c r="AF80" s="648" t="e">
        <f t="shared" si="41"/>
        <v>#VALUE!</v>
      </c>
      <c r="AG80" s="648" t="e">
        <f t="shared" si="41"/>
        <v>#VALUE!</v>
      </c>
      <c r="AH80" s="648" t="e">
        <f t="shared" si="41"/>
        <v>#VALUE!</v>
      </c>
      <c r="AI80" s="649" t="e">
        <f t="shared" si="41"/>
        <v>#VALUE!</v>
      </c>
      <c r="AJ80" s="648" t="e">
        <f t="shared" si="41"/>
        <v>#NUM!</v>
      </c>
      <c r="AK80" s="650" t="e">
        <f t="shared" si="41"/>
        <v>#VALUE!</v>
      </c>
      <c r="AL80" s="650" t="e">
        <f t="shared" si="41"/>
        <v>#NUM!</v>
      </c>
      <c r="AM80" s="650" t="e">
        <f t="shared" si="41"/>
        <v>#NUM!</v>
      </c>
      <c r="AN80" s="650" t="e">
        <f t="shared" si="41"/>
        <v>#NUM!</v>
      </c>
      <c r="AO80" s="650" t="e">
        <f t="shared" si="41"/>
        <v>#NUM!</v>
      </c>
      <c r="AP80" s="650" t="e">
        <f t="shared" si="41"/>
        <v>#NUM!</v>
      </c>
      <c r="AQ80" s="650"/>
      <c r="AR80" s="651"/>
      <c r="AS80" s="4"/>
      <c r="AT80" s="4"/>
      <c r="AU80" s="40"/>
      <c r="AV80" s="644" t="str">
        <f>AV38</f>
        <v>Median</v>
      </c>
      <c r="AW80" s="645"/>
      <c r="AX80" s="645"/>
      <c r="AY80" s="647" t="e">
        <f t="shared" ref="AY80:BL80" si="42">MEDIAN(AY72:AY76)</f>
        <v>#VALUE!</v>
      </c>
      <c r="AZ80" s="647" t="e">
        <f t="shared" si="42"/>
        <v>#NAME?</v>
      </c>
      <c r="BA80" s="648" t="e">
        <f t="shared" si="42"/>
        <v>#NAME?</v>
      </c>
      <c r="BB80" s="648" t="e">
        <f t="shared" si="42"/>
        <v>#VALUE!</v>
      </c>
      <c r="BC80" s="648" t="e">
        <f t="shared" si="42"/>
        <v>#VALUE!</v>
      </c>
      <c r="BD80" s="648" t="e">
        <f t="shared" si="42"/>
        <v>#VALUE!</v>
      </c>
      <c r="BE80" s="648" t="e">
        <f t="shared" si="42"/>
        <v>#VALUE!</v>
      </c>
      <c r="BF80" s="648" t="e">
        <f t="shared" si="42"/>
        <v>#NUM!</v>
      </c>
      <c r="BG80" s="648" t="e">
        <f t="shared" si="42"/>
        <v>#VALUE!</v>
      </c>
      <c r="BH80" s="648" t="e">
        <f t="shared" si="42"/>
        <v>#NUM!</v>
      </c>
      <c r="BI80" s="649" t="e">
        <f t="shared" si="42"/>
        <v>#NUM!</v>
      </c>
      <c r="BJ80" s="650" t="e">
        <f t="shared" si="42"/>
        <v>#NUM!</v>
      </c>
      <c r="BK80" s="650" t="e">
        <f t="shared" si="42"/>
        <v>#NUM!</v>
      </c>
      <c r="BL80" s="650" t="e">
        <f t="shared" si="42"/>
        <v>#NUM!</v>
      </c>
      <c r="BM80" s="650"/>
      <c r="BN80" s="651"/>
    </row>
    <row r="81" ht="13.5" customHeight="1" hidden="1" spans="1:66" x14ac:dyDescent="0.25" outlineLevel="1" collapsed="1">
      <c r="A81" s="4"/>
      <c r="B81" s="40"/>
      <c r="C81" s="40"/>
      <c r="D81" s="652" t="str">
        <f>D39</f>
        <v>Low</v>
      </c>
      <c r="E81" s="653"/>
      <c r="F81" s="653"/>
      <c r="G81" s="654" t="e">
        <f t="shared" ref="G81:T81" si="43">MIN(G72:G76)</f>
        <v>#VALUE!</v>
      </c>
      <c r="H81" s="665" t="e">
        <f t="shared" si="43"/>
        <v>#NAME?</v>
      </c>
      <c r="I81" s="655" t="e">
        <f t="shared" si="43"/>
        <v>#NAME?</v>
      </c>
      <c r="J81" s="655" t="e">
        <f t="shared" si="43"/>
        <v>#VALUE!</v>
      </c>
      <c r="K81" s="655">
        <f t="shared" si="43"/>
        <v>0.009847</v>
      </c>
      <c r="L81" s="655">
        <f t="shared" si="43"/>
        <v>0.017881</v>
      </c>
      <c r="M81" s="666">
        <f t="shared" si="43"/>
        <v>0.438444</v>
      </c>
      <c r="N81" s="655">
        <f t="shared" si="43"/>
        <v>2.37743</v>
      </c>
      <c r="O81" s="655">
        <f t="shared" si="43"/>
        <v>0.780766</v>
      </c>
      <c r="P81" s="666">
        <f t="shared" si="43"/>
        <v>3.5</v>
      </c>
      <c r="Q81" s="666">
        <f t="shared" si="43"/>
        <v>1.49631</v>
      </c>
      <c r="R81" s="666">
        <f t="shared" si="43"/>
        <v>0.86681</v>
      </c>
      <c r="S81" s="666">
        <f t="shared" si="43"/>
        <v>0.44273</v>
      </c>
      <c r="T81" s="666">
        <f t="shared" si="43"/>
        <v>0.53817</v>
      </c>
      <c r="U81" s="657"/>
      <c r="V81" s="658"/>
      <c r="W81" s="8"/>
      <c r="X81" s="4"/>
      <c r="Y81" s="40"/>
      <c r="Z81" s="652" t="str">
        <f>Z39</f>
        <v>Low</v>
      </c>
      <c r="AA81" s="653"/>
      <c r="AB81" s="653"/>
      <c r="AC81" s="654" t="e">
        <f t="shared" ref="AC81:AP81" si="44">MIN(AC72:AC76)</f>
        <v>#VALUE!</v>
      </c>
      <c r="AD81" s="665" t="e">
        <f t="shared" si="44"/>
        <v>#NAME?</v>
      </c>
      <c r="AE81" s="655" t="e">
        <f t="shared" si="44"/>
        <v>#NAME?</v>
      </c>
      <c r="AF81" s="655" t="e">
        <f t="shared" si="44"/>
        <v>#VALUE!</v>
      </c>
      <c r="AG81" s="655" t="e">
        <f t="shared" si="44"/>
        <v>#VALUE!</v>
      </c>
      <c r="AH81" s="655" t="e">
        <f t="shared" si="44"/>
        <v>#VALUE!</v>
      </c>
      <c r="AI81" s="656" t="e">
        <f t="shared" si="44"/>
        <v>#VALUE!</v>
      </c>
      <c r="AJ81" s="655">
        <f t="shared" si="44"/>
        <v>0</v>
      </c>
      <c r="AK81" s="657" t="e">
        <f t="shared" si="44"/>
        <v>#VALUE!</v>
      </c>
      <c r="AL81" s="657">
        <f t="shared" si="44"/>
        <v>0</v>
      </c>
      <c r="AM81" s="657">
        <f t="shared" si="44"/>
        <v>0</v>
      </c>
      <c r="AN81" s="657">
        <f t="shared" si="44"/>
        <v>0</v>
      </c>
      <c r="AO81" s="657">
        <f t="shared" si="44"/>
        <v>0</v>
      </c>
      <c r="AP81" s="657">
        <f t="shared" si="44"/>
        <v>0</v>
      </c>
      <c r="AQ81" s="657"/>
      <c r="AR81" s="658"/>
      <c r="AS81" s="4"/>
      <c r="AT81" s="4"/>
      <c r="AU81" s="40"/>
      <c r="AV81" s="652" t="str">
        <f>AV39</f>
        <v>Low</v>
      </c>
      <c r="AW81" s="653"/>
      <c r="AX81" s="653"/>
      <c r="AY81" s="654" t="e">
        <f t="shared" ref="AY81:BL81" si="45">MIN(AY72:AY76)</f>
        <v>#VALUE!</v>
      </c>
      <c r="AZ81" s="654" t="e">
        <f t="shared" si="45"/>
        <v>#NAME?</v>
      </c>
      <c r="BA81" s="655" t="e">
        <f t="shared" si="45"/>
        <v>#NAME?</v>
      </c>
      <c r="BB81" s="655" t="e">
        <f t="shared" si="45"/>
        <v>#VALUE!</v>
      </c>
      <c r="BC81" s="655" t="e">
        <f t="shared" si="45"/>
        <v>#VALUE!</v>
      </c>
      <c r="BD81" s="655" t="e">
        <f t="shared" si="45"/>
        <v>#VALUE!</v>
      </c>
      <c r="BE81" s="655" t="e">
        <f t="shared" si="45"/>
        <v>#VALUE!</v>
      </c>
      <c r="BF81" s="655">
        <f t="shared" si="45"/>
        <v>0</v>
      </c>
      <c r="BG81" s="655" t="e">
        <f t="shared" si="45"/>
        <v>#VALUE!</v>
      </c>
      <c r="BH81" s="655">
        <f t="shared" si="45"/>
        <v>0</v>
      </c>
      <c r="BI81" s="656">
        <f t="shared" si="45"/>
        <v>0</v>
      </c>
      <c r="BJ81" s="657">
        <f t="shared" si="45"/>
        <v>0</v>
      </c>
      <c r="BK81" s="657">
        <f t="shared" si="45"/>
        <v>0</v>
      </c>
      <c r="BL81" s="657">
        <f t="shared" si="45"/>
        <v>0</v>
      </c>
      <c r="BM81" s="657"/>
      <c r="BN81" s="658"/>
    </row>
    <row r="82" ht="13.5" customHeight="1" hidden="1" spans="1:66" x14ac:dyDescent="0.25" outlineLevel="1" collapsed="1">
      <c r="A82" s="4"/>
      <c r="B82" s="40"/>
      <c r="C82" s="40"/>
      <c r="D82" s="8"/>
      <c r="E82" s="8"/>
      <c r="F82" s="8"/>
      <c r="G82" s="623"/>
      <c r="H82" s="75"/>
      <c r="I82" s="623"/>
      <c r="J82" s="623"/>
      <c r="K82" s="623"/>
      <c r="L82" s="623"/>
      <c r="M82" s="623"/>
      <c r="N82" s="575"/>
      <c r="O82" s="623"/>
      <c r="P82" s="575"/>
      <c r="Q82" s="571"/>
      <c r="R82" s="575"/>
      <c r="S82" s="8"/>
      <c r="T82" s="623"/>
      <c r="U82" s="75"/>
      <c r="V82" s="75"/>
      <c r="W82" s="8"/>
      <c r="X82" s="4"/>
      <c r="Y82" s="40"/>
      <c r="Z82" s="8"/>
      <c r="AA82" s="8"/>
      <c r="AB82" s="8"/>
      <c r="AC82" s="623"/>
      <c r="AD82" s="75"/>
      <c r="AE82" s="623"/>
      <c r="AF82" s="623"/>
      <c r="AG82" s="623"/>
      <c r="AH82" s="623"/>
      <c r="AI82" s="623"/>
      <c r="AJ82" s="575"/>
      <c r="AK82" s="623"/>
      <c r="AL82" s="575"/>
      <c r="AM82" s="571"/>
      <c r="AN82" s="575"/>
      <c r="AO82" s="8"/>
      <c r="AP82" s="623"/>
      <c r="AQ82" s="75"/>
      <c r="AR82" s="75"/>
      <c r="AS82" s="4"/>
      <c r="AT82" s="4"/>
      <c r="AU82" s="40"/>
      <c r="AV82" s="8"/>
      <c r="AW82" s="8"/>
      <c r="AX82" s="8"/>
      <c r="AY82" s="623"/>
      <c r="AZ82" s="75"/>
      <c r="BA82" s="623"/>
      <c r="BB82" s="623"/>
      <c r="BC82" s="623"/>
      <c r="BD82" s="623"/>
      <c r="BE82" s="623"/>
      <c r="BF82" s="575"/>
      <c r="BG82" s="623"/>
      <c r="BH82" s="575"/>
      <c r="BI82" s="571"/>
      <c r="BJ82" s="575"/>
      <c r="BK82" s="8"/>
      <c r="BL82" s="623"/>
      <c r="BM82" s="75"/>
      <c r="BN82" s="75"/>
    </row>
    <row r="83" ht="13.5" customHeight="1" hidden="1" spans="1:66" x14ac:dyDescent="0.25" outlineLevel="1" collapsed="1">
      <c r="A83" s="4"/>
      <c r="B83" s="40"/>
      <c r="C83" s="40"/>
      <c r="D83" s="8"/>
      <c r="E83" s="8"/>
      <c r="F83" s="8"/>
      <c r="G83" s="8"/>
      <c r="H83" s="8"/>
      <c r="I83" s="8"/>
      <c r="J83" s="8"/>
      <c r="K83" s="8"/>
      <c r="L83" s="8"/>
      <c r="M83" s="8"/>
      <c r="N83" s="8"/>
      <c r="O83" s="8"/>
      <c r="P83" s="8"/>
      <c r="Q83" s="8"/>
      <c r="R83" s="8"/>
      <c r="S83" s="8"/>
      <c r="T83" s="8"/>
      <c r="U83" s="8"/>
      <c r="V83" s="8"/>
      <c r="W83" s="8"/>
      <c r="X83" s="4"/>
      <c r="Y83" s="40"/>
      <c r="Z83" s="8"/>
      <c r="AA83" s="8"/>
      <c r="AB83" s="8"/>
      <c r="AC83" s="8"/>
      <c r="AD83" s="8"/>
      <c r="AE83" s="8"/>
      <c r="AF83" s="8"/>
      <c r="AG83" s="8"/>
      <c r="AH83" s="8"/>
      <c r="AI83" s="8"/>
      <c r="AJ83" s="8"/>
      <c r="AK83" s="8"/>
      <c r="AL83" s="8"/>
      <c r="AM83" s="8"/>
      <c r="AN83" s="8"/>
      <c r="AO83" s="8"/>
      <c r="AP83" s="8"/>
      <c r="AQ83" s="8"/>
      <c r="AR83" s="8"/>
      <c r="AS83" s="4"/>
      <c r="AT83" s="4"/>
      <c r="AU83" s="4"/>
      <c r="AV83" s="4"/>
      <c r="AW83" s="4"/>
      <c r="AX83" s="4"/>
      <c r="AY83" s="4"/>
      <c r="AZ83" s="4"/>
      <c r="BA83" s="4"/>
      <c r="BB83" s="4"/>
      <c r="BC83" s="4"/>
      <c r="BD83" s="4"/>
      <c r="BE83" s="4"/>
      <c r="BF83" s="4"/>
      <c r="BG83" s="4"/>
      <c r="BH83" s="4"/>
      <c r="BI83" s="4"/>
      <c r="BJ83" s="4"/>
      <c r="BK83" s="4"/>
      <c r="BL83" s="4"/>
      <c r="BM83" s="4"/>
      <c r="BN83" s="4"/>
    </row>
    <row r="84" ht="13.5" customHeight="1" hidden="1" spans="1:66" x14ac:dyDescent="0.25" outlineLevel="1" collapsed="1">
      <c r="A84" s="4"/>
      <c r="B84" s="40" t="s">
        <v>3</v>
      </c>
      <c r="C84" s="40"/>
      <c r="D84" s="667" t="s">
        <v>664</v>
      </c>
      <c r="E84" s="667"/>
      <c r="F84" s="667"/>
      <c r="G84" s="667"/>
      <c r="H84" s="667"/>
      <c r="I84" s="667"/>
      <c r="J84" s="667"/>
      <c r="K84" s="667"/>
      <c r="L84" s="667"/>
      <c r="M84" s="667"/>
      <c r="N84" s="667"/>
      <c r="O84" s="667"/>
      <c r="P84" s="667"/>
      <c r="Q84" s="667"/>
      <c r="R84" s="667"/>
      <c r="S84" s="667"/>
      <c r="T84" s="667"/>
      <c r="U84" s="667"/>
      <c r="V84" s="667"/>
      <c r="W84" s="8"/>
      <c r="X84" s="8"/>
      <c r="Y84" s="8"/>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hidden="1" spans="1:66" x14ac:dyDescent="0.25" outlineLevel="1" collapsed="1">
      <c r="A85" s="4"/>
      <c r="B85" s="40"/>
      <c r="C85" s="40"/>
      <c r="D85" s="8"/>
      <c r="E85" s="8"/>
      <c r="F85" s="8"/>
      <c r="G85" s="8"/>
      <c r="H85" s="8"/>
      <c r="I85" s="8"/>
      <c r="J85" s="8"/>
      <c r="K85" s="8"/>
      <c r="L85" s="8"/>
      <c r="M85" s="8"/>
      <c r="N85" s="8"/>
      <c r="O85" s="8"/>
      <c r="P85" s="8"/>
      <c r="Q85" s="8"/>
      <c r="R85" s="8"/>
      <c r="S85" s="8"/>
      <c r="T85" s="8"/>
      <c r="U85" s="8"/>
      <c r="V85" s="8"/>
      <c r="W85" s="8"/>
      <c r="X85" s="8"/>
      <c r="Y85" s="8"/>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hidden="1" spans="1:66" x14ac:dyDescent="0.25" outlineLevel="1" collapsed="1">
      <c r="A86" s="4"/>
      <c r="B86" s="40"/>
      <c r="C86" s="40"/>
      <c r="D86" s="10" t="str">
        <f>S88</f>
        <v>Primary Peer Group</v>
      </c>
      <c r="E86" s="12"/>
      <c r="F86" s="9" t="s">
        <v>3</v>
      </c>
      <c r="G86" s="10" t="str">
        <f>S89</f>
        <v>N/A</v>
      </c>
      <c r="H86" s="11"/>
      <c r="I86" s="11"/>
      <c r="J86" s="12"/>
      <c r="K86" s="8"/>
      <c r="L86" s="10" t="str">
        <f>S90</f>
        <v>N/A</v>
      </c>
      <c r="M86" s="11"/>
      <c r="N86" s="11"/>
      <c r="O86" s="12"/>
      <c r="P86" s="8"/>
      <c r="Q86" s="10" t="s">
        <v>665</v>
      </c>
      <c r="R86" s="11"/>
      <c r="S86" s="11"/>
      <c r="T86" s="12"/>
      <c r="U86" s="8"/>
      <c r="V86" s="8"/>
      <c r="W86" s="8"/>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hidden="1" spans="1:66" x14ac:dyDescent="0.25" outlineLevel="1" collapsed="1">
      <c r="A87" s="4"/>
      <c r="B87" s="40"/>
      <c r="C87" s="40"/>
      <c r="D87" s="8"/>
      <c r="E87" s="8"/>
      <c r="F87" s="8"/>
      <c r="G87" s="8"/>
      <c r="H87" s="8"/>
      <c r="I87" s="8"/>
      <c r="J87" s="8"/>
      <c r="K87" s="8"/>
      <c r="L87" s="8"/>
      <c r="M87" s="8"/>
      <c r="N87" s="8"/>
      <c r="O87" s="8"/>
      <c r="P87" s="8"/>
      <c r="Q87" s="8"/>
      <c r="R87" s="8"/>
      <c r="S87" s="8"/>
      <c r="T87" s="123"/>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ollapsed="1">
      <c r="A88" s="4"/>
      <c r="B88" s="40"/>
      <c r="C88" s="40"/>
      <c r="D88" s="182" t="s">
        <v>666</v>
      </c>
      <c r="E88" s="276" t="str">
        <f>Company_Name</f>
        <v>Republic Services, Inc.</v>
      </c>
      <c r="F88" s="8"/>
      <c r="G88" s="182" t="s">
        <v>666</v>
      </c>
      <c r="H88" s="123"/>
      <c r="I88" s="123" t="str">
        <f>Company_Name</f>
        <v>Republic Services, Inc.</v>
      </c>
      <c r="J88" s="276"/>
      <c r="K88" s="8"/>
      <c r="L88" s="182" t="s">
        <v>666</v>
      </c>
      <c r="M88" s="123"/>
      <c r="N88" s="123" t="str">
        <f>Company_Name</f>
        <v>Republic Services, Inc.</v>
      </c>
      <c r="O88" s="276"/>
      <c r="P88" s="8"/>
      <c r="Q88" s="182" t="s">
        <v>667</v>
      </c>
      <c r="R88" s="123"/>
      <c r="S88" s="668" t="s">
        <v>668</v>
      </c>
      <c r="T88" s="276"/>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ollapsed="1">
      <c r="A89" s="4"/>
      <c r="B89" s="40"/>
      <c r="C89" s="40"/>
      <c r="D89" s="180" t="s">
        <v>669</v>
      </c>
      <c r="E89" s="181" t="str">
        <f>Ticker</f>
        <v>RSG</v>
      </c>
      <c r="F89" s="8"/>
      <c r="G89" s="180" t="s">
        <v>669</v>
      </c>
      <c r="H89" s="8"/>
      <c r="I89" s="8" t="str">
        <f>Ticker</f>
        <v>RSG</v>
      </c>
      <c r="J89" s="181"/>
      <c r="K89" s="8"/>
      <c r="L89" s="180" t="s">
        <v>669</v>
      </c>
      <c r="M89" s="8"/>
      <c r="N89" s="8" t="str">
        <f>Ticker</f>
        <v>RSG</v>
      </c>
      <c r="O89" s="181"/>
      <c r="P89" s="8"/>
      <c r="Q89" s="180" t="s">
        <v>670</v>
      </c>
      <c r="R89" s="8"/>
      <c r="S89" s="669" t="s">
        <v>457</v>
      </c>
      <c r="T89" s="181"/>
      <c r="U89" s="8"/>
      <c r="V89" s="8"/>
      <c r="W89" s="8"/>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ollapsed="1">
      <c r="A90" s="4"/>
      <c r="B90" s="40"/>
      <c r="C90" s="40"/>
      <c r="D90" s="184" t="s">
        <v>671</v>
      </c>
      <c r="E90" s="670" t="s">
        <v>672</v>
      </c>
      <c r="F90" s="8"/>
      <c r="G90" s="184" t="s">
        <v>671</v>
      </c>
      <c r="H90" s="122"/>
      <c r="I90" s="122" t="str">
        <f>$E$90</f>
        <v>IQ386225</v>
      </c>
      <c r="J90" s="671"/>
      <c r="K90" s="8"/>
      <c r="L90" s="184" t="s">
        <v>671</v>
      </c>
      <c r="M90" s="122"/>
      <c r="N90" s="122" t="str">
        <f>$E$90</f>
        <v>IQ386225</v>
      </c>
      <c r="O90" s="671"/>
      <c r="P90" s="8"/>
      <c r="Q90" s="184" t="s">
        <v>673</v>
      </c>
      <c r="R90" s="122"/>
      <c r="S90" s="669" t="s">
        <v>457</v>
      </c>
      <c r="T90" s="671"/>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ollapsed="1">
      <c r="A91" s="4"/>
      <c r="B91" s="40"/>
      <c r="C91" s="40"/>
      <c r="F91" s="8"/>
      <c r="K91" s="8"/>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ollapsed="1">
      <c r="A92" s="4"/>
      <c r="B92" s="40"/>
      <c r="C92" s="40"/>
      <c r="D92" s="182" t="s">
        <v>674</v>
      </c>
      <c r="E92" s="672" t="s">
        <v>606</v>
      </c>
      <c r="F92" s="8"/>
      <c r="G92" s="182" t="s">
        <v>674</v>
      </c>
      <c r="H92" s="123"/>
      <c r="I92" s="668"/>
      <c r="J92" s="276"/>
      <c r="K92" s="8"/>
      <c r="L92" s="182" t="s">
        <v>674</v>
      </c>
      <c r="M92" s="123"/>
      <c r="N92" s="668"/>
      <c r="O92" s="276"/>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ollapsed="1">
      <c r="A93" s="4"/>
      <c r="B93" s="40"/>
      <c r="C93" s="40"/>
      <c r="D93" s="180" t="s">
        <v>669</v>
      </c>
      <c r="E93" s="673" t="s">
        <v>607</v>
      </c>
      <c r="F93" s="8"/>
      <c r="G93" s="180" t="s">
        <v>669</v>
      </c>
      <c r="H93" s="8"/>
      <c r="I93" s="669"/>
      <c r="J93" s="181"/>
      <c r="K93" s="8"/>
      <c r="L93" s="180" t="s">
        <v>669</v>
      </c>
      <c r="M93" s="8"/>
      <c r="N93" s="669"/>
      <c r="O93" s="181"/>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ollapsed="1">
      <c r="A94" s="4"/>
      <c r="B94" s="40"/>
      <c r="C94" s="40"/>
      <c r="D94" s="184" t="s">
        <v>671</v>
      </c>
      <c r="E94" s="670" t="s">
        <v>675</v>
      </c>
      <c r="F94" s="8"/>
      <c r="G94" s="184" t="s">
        <v>671</v>
      </c>
      <c r="H94" s="122"/>
      <c r="I94" s="674"/>
      <c r="J94" s="671"/>
      <c r="K94" s="8"/>
      <c r="L94" s="184" t="s">
        <v>671</v>
      </c>
      <c r="M94" s="122"/>
      <c r="N94" s="674"/>
      <c r="O94" s="671"/>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ollapsed="1">
      <c r="A95" s="4"/>
      <c r="B95" s="40"/>
      <c r="C95" s="40"/>
      <c r="F95" s="8"/>
      <c r="K95" s="8"/>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ollapsed="1">
      <c r="A96" s="4"/>
      <c r="B96" s="40"/>
      <c r="C96" s="40"/>
      <c r="D96" s="182" t="s">
        <v>674</v>
      </c>
      <c r="E96" s="672" t="s">
        <v>610</v>
      </c>
      <c r="F96" s="8"/>
      <c r="G96" s="182" t="s">
        <v>674</v>
      </c>
      <c r="H96" s="123"/>
      <c r="I96" s="668"/>
      <c r="J96" s="276"/>
      <c r="K96" s="8"/>
      <c r="L96" s="182" t="s">
        <v>674</v>
      </c>
      <c r="M96" s="123"/>
      <c r="N96" s="668"/>
      <c r="O96" s="276"/>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ollapsed="1">
      <c r="A97" s="4"/>
      <c r="B97" s="40"/>
      <c r="C97" s="40"/>
      <c r="D97" s="180" t="s">
        <v>669</v>
      </c>
      <c r="E97" s="673" t="s">
        <v>611</v>
      </c>
      <c r="F97" s="8"/>
      <c r="G97" s="180" t="s">
        <v>669</v>
      </c>
      <c r="H97" s="8"/>
      <c r="I97" s="669"/>
      <c r="J97" s="181"/>
      <c r="K97" s="8"/>
      <c r="L97" s="180" t="s">
        <v>669</v>
      </c>
      <c r="M97" s="8"/>
      <c r="N97" s="669"/>
      <c r="O97" s="181"/>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ollapsed="1">
      <c r="A98" s="4"/>
      <c r="B98" s="40"/>
      <c r="C98" s="40"/>
      <c r="D98" s="184" t="s">
        <v>671</v>
      </c>
      <c r="E98" s="670" t="s">
        <v>676</v>
      </c>
      <c r="F98" s="8"/>
      <c r="G98" s="184" t="s">
        <v>671</v>
      </c>
      <c r="H98" s="122"/>
      <c r="I98" s="674"/>
      <c r="J98" s="671"/>
      <c r="K98" s="8"/>
      <c r="L98" s="184" t="s">
        <v>671</v>
      </c>
      <c r="M98" s="122"/>
      <c r="N98" s="674"/>
      <c r="O98" s="671"/>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ollapsed="1">
      <c r="A99" s="4"/>
      <c r="B99" s="40"/>
      <c r="C99" s="40"/>
      <c r="D99" s="4"/>
      <c r="E99" s="4"/>
      <c r="F99" s="8"/>
      <c r="G99" s="4"/>
      <c r="H99" s="4"/>
      <c r="I99" s="4"/>
      <c r="J99" s="4"/>
      <c r="K99" s="8"/>
      <c r="L99" s="4"/>
      <c r="M99" s="4"/>
      <c r="N99" s="4"/>
      <c r="O99" s="4"/>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ollapsed="1">
      <c r="A100" s="4"/>
      <c r="B100" s="40"/>
      <c r="C100" s="40"/>
      <c r="D100" s="182" t="s">
        <v>674</v>
      </c>
      <c r="E100" s="672" t="s">
        <v>615</v>
      </c>
      <c r="F100" s="8"/>
      <c r="G100" s="182" t="s">
        <v>674</v>
      </c>
      <c r="H100" s="123"/>
      <c r="I100" s="668"/>
      <c r="J100" s="276"/>
      <c r="K100" s="8"/>
      <c r="L100" s="182" t="s">
        <v>674</v>
      </c>
      <c r="M100" s="123"/>
      <c r="N100" s="668"/>
      <c r="O100" s="276"/>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ollapsed="1">
      <c r="A101" s="4"/>
      <c r="B101" s="40"/>
      <c r="C101" s="40"/>
      <c r="D101" s="180" t="s">
        <v>669</v>
      </c>
      <c r="E101" s="673" t="s">
        <v>616</v>
      </c>
      <c r="F101" s="8"/>
      <c r="G101" s="180" t="s">
        <v>669</v>
      </c>
      <c r="H101" s="40"/>
      <c r="I101" s="669"/>
      <c r="J101" s="181"/>
      <c r="K101" s="8"/>
      <c r="L101" s="180" t="s">
        <v>669</v>
      </c>
      <c r="M101" s="40"/>
      <c r="N101" s="669"/>
      <c r="O101" s="181"/>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ollapsed="1">
      <c r="A102" s="4"/>
      <c r="B102" s="40"/>
      <c r="C102" s="40"/>
      <c r="D102" s="184" t="s">
        <v>671</v>
      </c>
      <c r="E102" s="670" t="s">
        <v>677</v>
      </c>
      <c r="F102" s="8"/>
      <c r="G102" s="184" t="s">
        <v>671</v>
      </c>
      <c r="H102" s="122"/>
      <c r="I102" s="674"/>
      <c r="J102" s="671"/>
      <c r="K102" s="8"/>
      <c r="L102" s="184" t="s">
        <v>671</v>
      </c>
      <c r="M102" s="122"/>
      <c r="N102" s="674"/>
      <c r="O102" s="671"/>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ollapsed="1">
      <c r="A103" s="4"/>
      <c r="B103" s="40"/>
      <c r="C103" s="40"/>
      <c r="D103" s="4"/>
      <c r="E103" s="4"/>
      <c r="F103" s="8"/>
      <c r="G103" s="4"/>
      <c r="H103" s="4"/>
      <c r="I103" s="4"/>
      <c r="J103" s="4"/>
      <c r="K103" s="8"/>
      <c r="L103" s="4"/>
      <c r="M103" s="4"/>
      <c r="N103" s="4"/>
      <c r="O103" s="4"/>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ollapsed="1">
      <c r="A104" s="4"/>
      <c r="B104" s="40"/>
      <c r="C104" s="40"/>
      <c r="D104" s="182" t="s">
        <v>674</v>
      </c>
      <c r="E104" s="672" t="s">
        <v>619</v>
      </c>
      <c r="F104" s="8"/>
      <c r="G104" s="182" t="s">
        <v>674</v>
      </c>
      <c r="H104" s="123"/>
      <c r="I104" s="668"/>
      <c r="J104" s="276"/>
      <c r="K104" s="8"/>
      <c r="L104" s="182" t="s">
        <v>674</v>
      </c>
      <c r="M104" s="123"/>
      <c r="N104" s="668"/>
      <c r="O104" s="276"/>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ollapsed="1">
      <c r="A105" s="4"/>
      <c r="B105" s="40"/>
      <c r="C105" s="40"/>
      <c r="D105" s="180" t="s">
        <v>669</v>
      </c>
      <c r="E105" s="673" t="s">
        <v>620</v>
      </c>
      <c r="F105" s="8"/>
      <c r="G105" s="180" t="s">
        <v>669</v>
      </c>
      <c r="H105" s="8"/>
      <c r="I105" s="669"/>
      <c r="J105" s="181"/>
      <c r="K105" s="8"/>
      <c r="L105" s="180" t="s">
        <v>669</v>
      </c>
      <c r="M105" s="8"/>
      <c r="N105" s="669"/>
      <c r="O105" s="181"/>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ollapsed="1">
      <c r="A106" s="4"/>
      <c r="B106" s="40"/>
      <c r="C106" s="40"/>
      <c r="D106" s="184" t="s">
        <v>671</v>
      </c>
      <c r="E106" s="670" t="s">
        <v>678</v>
      </c>
      <c r="F106" s="8"/>
      <c r="G106" s="184" t="s">
        <v>671</v>
      </c>
      <c r="H106" s="122"/>
      <c r="I106" s="674"/>
      <c r="J106" s="671"/>
      <c r="K106" s="8"/>
      <c r="L106" s="184" t="s">
        <v>671</v>
      </c>
      <c r="M106" s="122"/>
      <c r="N106" s="674"/>
      <c r="O106" s="671"/>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ollapsed="1">
      <c r="A107" s="4"/>
      <c r="B107" s="40"/>
      <c r="C107" s="40"/>
      <c r="D107" s="8"/>
      <c r="E107" s="8"/>
      <c r="F107" s="8"/>
      <c r="G107" s="8"/>
      <c r="H107" s="8"/>
      <c r="I107" s="8"/>
      <c r="J107" s="8"/>
      <c r="K107" s="8"/>
      <c r="L107" s="8"/>
      <c r="M107" s="8"/>
      <c r="N107" s="8"/>
      <c r="O107" s="8"/>
      <c r="P107" s="8"/>
      <c r="Q107" s="8"/>
      <c r="R107" s="8"/>
      <c r="S107" s="8"/>
      <c r="T107" s="8"/>
      <c r="U107" s="8"/>
      <c r="V107" s="8"/>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ollapsed="1">
      <c r="A108" s="4"/>
      <c r="B108" s="40"/>
      <c r="C108" s="40"/>
      <c r="D108" s="182" t="s">
        <v>674</v>
      </c>
      <c r="E108" s="672" t="s">
        <v>623</v>
      </c>
      <c r="F108" s="8"/>
      <c r="G108" s="182" t="s">
        <v>674</v>
      </c>
      <c r="H108" s="123"/>
      <c r="I108" s="668"/>
      <c r="J108" s="276"/>
      <c r="K108" s="8"/>
      <c r="L108" s="182" t="s">
        <v>674</v>
      </c>
      <c r="M108" s="123"/>
      <c r="N108" s="668"/>
      <c r="O108" s="276"/>
      <c r="P108" s="8"/>
      <c r="Q108" s="8"/>
      <c r="R108" s="8"/>
      <c r="S108" s="8"/>
      <c r="T108" s="8"/>
      <c r="U108" s="8"/>
      <c r="V108" s="8"/>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ollapsed="1">
      <c r="A109" s="4"/>
      <c r="B109" s="40"/>
      <c r="C109" s="40"/>
      <c r="D109" s="180" t="s">
        <v>669</v>
      </c>
      <c r="E109" s="673" t="s">
        <v>624</v>
      </c>
      <c r="F109" s="8"/>
      <c r="G109" s="180" t="s">
        <v>669</v>
      </c>
      <c r="H109" s="8"/>
      <c r="I109" s="669"/>
      <c r="J109" s="181"/>
      <c r="K109" s="8"/>
      <c r="L109" s="180" t="s">
        <v>669</v>
      </c>
      <c r="M109" s="8"/>
      <c r="N109" s="669"/>
      <c r="O109" s="181"/>
      <c r="P109" s="8"/>
      <c r="Q109" s="8"/>
      <c r="R109" s="8"/>
      <c r="S109" s="8"/>
      <c r="T109" s="8"/>
      <c r="U109" s="8"/>
      <c r="V109" s="8"/>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ollapsed="1">
      <c r="A110" s="4"/>
      <c r="B110" s="40"/>
      <c r="C110" s="40"/>
      <c r="D110" s="184" t="s">
        <v>671</v>
      </c>
      <c r="E110" s="670" t="s">
        <v>679</v>
      </c>
      <c r="F110" s="8"/>
      <c r="G110" s="184" t="s">
        <v>671</v>
      </c>
      <c r="H110" s="122"/>
      <c r="I110" s="674"/>
      <c r="J110" s="671"/>
      <c r="K110" s="8"/>
      <c r="L110" s="184" t="s">
        <v>671</v>
      </c>
      <c r="M110" s="122"/>
      <c r="N110" s="674"/>
      <c r="O110" s="671"/>
      <c r="P110" s="8"/>
      <c r="Q110" s="8"/>
      <c r="R110" s="8"/>
      <c r="S110" s="8"/>
      <c r="T110" s="8"/>
      <c r="U110" s="8"/>
      <c r="V110" s="8"/>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hidden="1" spans="1:66" x14ac:dyDescent="0.25" outlineLevel="1" collapsed="1">
      <c r="A111" s="4"/>
      <c r="B111" s="40"/>
      <c r="C111" s="40"/>
      <c r="D111" s="8"/>
      <c r="E111" s="8"/>
      <c r="F111" s="8"/>
      <c r="G111" s="8"/>
      <c r="H111" s="8"/>
      <c r="I111" s="8"/>
      <c r="J111" s="8"/>
      <c r="K111" s="8"/>
      <c r="L111" s="8"/>
      <c r="M111" s="8"/>
      <c r="N111" s="8"/>
      <c r="O111" s="8"/>
      <c r="P111" s="8"/>
      <c r="Q111" s="8"/>
      <c r="R111" s="8"/>
      <c r="S111" s="8"/>
      <c r="T111" s="8"/>
      <c r="U111" s="8"/>
      <c r="V111" s="8"/>
      <c r="W111" s="8"/>
      <c r="X111" s="8"/>
      <c r="Y111" s="8"/>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0"/>
      <c r="C112" s="40"/>
      <c r="D112" s="4"/>
      <c r="E112" s="4"/>
      <c r="F112" s="4"/>
      <c r="G112" s="4"/>
      <c r="H112" s="8"/>
      <c r="I112" s="8"/>
      <c r="J112" s="8"/>
      <c r="K112" s="8"/>
      <c r="L112" s="8"/>
      <c r="M112" s="8"/>
      <c r="N112" s="8"/>
      <c r="O112" s="8"/>
      <c r="P112" s="8"/>
      <c r="Q112" s="8"/>
      <c r="R112" s="8"/>
      <c r="S112" s="8"/>
      <c r="T112" s="8"/>
      <c r="U112" s="8"/>
      <c r="V112" s="8"/>
      <c r="W112" s="8"/>
      <c r="X112" s="8"/>
      <c r="Y112" s="8"/>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0"/>
      <c r="S118" s="8"/>
      <c r="T118" s="8"/>
      <c r="U118" s="8"/>
      <c r="V118" s="8"/>
      <c r="W118" s="8"/>
      <c r="X118" s="8"/>
      <c r="Y118" s="8"/>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0"/>
      <c r="S119" s="8"/>
      <c r="T119" s="8"/>
      <c r="U119" s="8"/>
      <c r="V119" s="8"/>
      <c r="W119" s="8"/>
      <c r="X119" s="8"/>
      <c r="Y119" s="8"/>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0"/>
      <c r="S120" s="8"/>
      <c r="T120" s="8"/>
      <c r="U120" s="8"/>
      <c r="V120" s="8"/>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0"/>
      <c r="S121" s="8"/>
      <c r="T121" s="8"/>
      <c r="U121" s="8"/>
      <c r="V121" s="8"/>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0"/>
      <c r="S122" s="8"/>
      <c r="T122" s="8"/>
      <c r="U122" s="8"/>
      <c r="V122" s="8"/>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0"/>
      <c r="S123" s="8"/>
      <c r="T123" s="8"/>
      <c r="U123" s="8"/>
      <c r="V123" s="8"/>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0"/>
      <c r="S124" s="8"/>
      <c r="T124" s="8"/>
      <c r="U124" s="8"/>
      <c r="V124" s="8"/>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0"/>
      <c r="S125" s="8"/>
      <c r="T125" s="8"/>
      <c r="U125" s="8"/>
      <c r="V125" s="8"/>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56"/>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56"/>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56"/>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56"/>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56"/>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56"/>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56"/>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56"/>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56"/>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56"/>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56"/>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56"/>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56"/>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56"/>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56"/>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56"/>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56"/>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56"/>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56"/>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56"/>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56"/>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56"/>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56"/>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56"/>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56"/>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56"/>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56"/>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56"/>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56"/>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56"/>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56"/>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56"/>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56"/>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56"/>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56"/>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56"/>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56"/>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56"/>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56"/>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56"/>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56"/>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56"/>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56"/>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56"/>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56"/>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56"/>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56"/>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56"/>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56"/>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56"/>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56"/>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56"/>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56"/>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56"/>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56"/>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56"/>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56"/>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56"/>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56"/>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56"/>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56"/>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56"/>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5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56"/>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56"/>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56"/>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56"/>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56"/>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56"/>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56"/>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56"/>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56"/>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56"/>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56"/>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56"/>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56"/>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56"/>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56"/>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56"/>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56"/>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56"/>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56"/>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56"/>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56"/>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56"/>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56"/>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56"/>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56"/>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56"/>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56"/>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56"/>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56"/>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56"/>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56"/>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56"/>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56"/>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56"/>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56"/>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56"/>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56"/>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56"/>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56"/>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56"/>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56"/>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56"/>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56"/>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56"/>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56"/>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56"/>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56"/>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56"/>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56"/>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56"/>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56"/>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56"/>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56"/>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56"/>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56"/>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56"/>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56"/>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56"/>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56"/>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56"/>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56"/>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56"/>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56"/>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56"/>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56"/>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56"/>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56"/>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56"/>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56"/>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56"/>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56"/>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56"/>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56"/>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56"/>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56"/>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56"/>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56"/>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56"/>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56"/>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56"/>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56"/>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56"/>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56"/>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56"/>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56"/>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56"/>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56"/>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56"/>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56"/>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56"/>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56"/>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56"/>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56"/>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56"/>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56"/>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56"/>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56"/>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56"/>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56"/>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56"/>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56"/>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56"/>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56"/>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56"/>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56"/>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56"/>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56"/>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56"/>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56"/>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56"/>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56"/>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56"/>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56"/>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56"/>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56"/>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56"/>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56"/>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56"/>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56"/>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56"/>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56"/>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56"/>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56"/>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56"/>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56"/>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56"/>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56"/>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56"/>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56"/>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56"/>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56"/>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56"/>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56"/>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56"/>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56"/>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56"/>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56"/>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56"/>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56"/>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56"/>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56"/>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56"/>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56"/>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56"/>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56"/>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56"/>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56"/>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56"/>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56"/>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56"/>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56"/>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56"/>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56"/>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56"/>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56"/>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56"/>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56"/>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56"/>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56"/>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56"/>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56"/>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56"/>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56"/>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56"/>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56"/>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56"/>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56"/>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56"/>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56"/>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56"/>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56"/>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56"/>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56"/>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56"/>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56"/>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56"/>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56"/>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56"/>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56"/>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56"/>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56"/>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56"/>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56"/>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56"/>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56"/>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56"/>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56"/>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56"/>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56"/>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56"/>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56"/>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56"/>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56"/>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56"/>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56"/>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56"/>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56"/>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56"/>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56"/>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56"/>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56"/>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56"/>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56"/>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56"/>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56"/>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56"/>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56"/>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56"/>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56"/>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56"/>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56"/>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56"/>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56"/>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56"/>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56"/>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56"/>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56"/>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56"/>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56"/>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56"/>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56"/>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56"/>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56"/>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56"/>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56"/>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56"/>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56"/>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56"/>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56"/>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56"/>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56"/>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56"/>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56"/>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56"/>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56"/>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56"/>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56"/>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56"/>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56"/>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56"/>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56"/>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56"/>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56"/>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56"/>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56"/>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56"/>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56"/>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56"/>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56"/>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56"/>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56"/>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56"/>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56"/>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56"/>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56"/>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56"/>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56"/>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56"/>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56"/>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56"/>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56"/>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56"/>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56"/>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56"/>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56"/>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56"/>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56"/>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56"/>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56"/>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56"/>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56"/>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56"/>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56"/>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56"/>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56"/>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56"/>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56"/>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56"/>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56"/>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56"/>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56"/>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56"/>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56"/>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56"/>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56"/>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56"/>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56"/>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56"/>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56"/>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56"/>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56"/>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56"/>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56"/>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56"/>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56"/>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56"/>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56"/>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56"/>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56"/>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56"/>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56"/>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56"/>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56"/>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56"/>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56"/>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56"/>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56"/>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56"/>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56"/>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56"/>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56"/>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56"/>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56"/>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56"/>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56"/>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56"/>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56"/>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56"/>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56"/>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56"/>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56"/>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56"/>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56"/>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56"/>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56"/>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56"/>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56"/>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56"/>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56"/>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56"/>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56"/>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56"/>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56"/>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56"/>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56"/>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56"/>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56"/>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56"/>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56"/>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56"/>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56"/>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56"/>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56"/>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56"/>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56"/>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56"/>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56"/>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56"/>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56"/>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56"/>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56"/>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56"/>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56"/>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56"/>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56"/>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56"/>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56"/>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56"/>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56"/>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56"/>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56"/>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56"/>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56"/>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56"/>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56"/>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56"/>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56"/>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56"/>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56"/>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56"/>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56"/>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56"/>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56"/>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56"/>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56"/>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56"/>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56"/>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56"/>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56"/>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56"/>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56"/>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56"/>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56"/>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56"/>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56"/>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56"/>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56"/>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56"/>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56"/>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56"/>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56"/>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56"/>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56"/>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56"/>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56"/>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56"/>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56"/>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56"/>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56"/>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56"/>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56"/>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56"/>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56"/>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56"/>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56"/>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56"/>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56"/>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56"/>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56"/>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56"/>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56"/>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56"/>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56"/>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56"/>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56"/>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56"/>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56"/>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56"/>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56"/>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56"/>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56"/>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56"/>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56"/>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56"/>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56"/>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56"/>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56"/>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56"/>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56"/>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56"/>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56"/>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56"/>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56"/>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56"/>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56"/>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56"/>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56"/>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56"/>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56"/>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56"/>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56"/>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56"/>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56"/>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56"/>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56"/>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56"/>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56"/>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56"/>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56"/>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56"/>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56"/>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56"/>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56"/>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56"/>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56"/>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56"/>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56"/>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56"/>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56"/>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56"/>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56"/>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56"/>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56"/>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56"/>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56"/>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56"/>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56"/>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56"/>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56"/>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56"/>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56"/>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56"/>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56"/>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56"/>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56"/>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56"/>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56"/>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56"/>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56"/>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56"/>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56"/>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56"/>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56"/>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56"/>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56"/>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56"/>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56"/>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56"/>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56"/>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56"/>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56"/>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56"/>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56"/>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56"/>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56"/>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56"/>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56"/>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56"/>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56"/>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56"/>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56"/>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56"/>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56"/>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56"/>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56"/>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56"/>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56"/>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56"/>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56"/>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56"/>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56"/>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56"/>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56"/>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56"/>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56"/>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56"/>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56"/>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56"/>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56"/>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56"/>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56"/>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56"/>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56"/>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56"/>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56"/>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56"/>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56"/>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56"/>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56"/>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56"/>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56"/>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56"/>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56"/>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56"/>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56"/>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56"/>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56"/>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56"/>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56"/>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56"/>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56"/>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56"/>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56"/>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56"/>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56"/>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56"/>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56"/>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56"/>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56"/>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56"/>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56"/>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56"/>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56"/>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56"/>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56"/>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56"/>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56"/>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56"/>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56"/>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56"/>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56"/>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56"/>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56"/>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56"/>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56"/>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56"/>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56"/>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56"/>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56"/>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56"/>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56"/>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56"/>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56"/>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56"/>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56"/>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56"/>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56"/>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56"/>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56"/>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56"/>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56"/>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56"/>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56"/>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56"/>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56"/>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56"/>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56"/>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56"/>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56"/>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56"/>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56"/>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56"/>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56"/>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56"/>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56"/>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56"/>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56"/>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56"/>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56"/>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56"/>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56"/>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56"/>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56"/>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56"/>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56"/>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56"/>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56"/>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56"/>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56"/>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56"/>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56"/>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56"/>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56"/>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56"/>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56"/>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56"/>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56"/>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56"/>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56"/>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56"/>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56"/>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56"/>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56"/>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56"/>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56"/>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56"/>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56"/>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56"/>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56"/>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56"/>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56"/>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56"/>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56"/>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56"/>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56"/>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56"/>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56"/>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56"/>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56"/>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56"/>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56"/>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56"/>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56"/>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56"/>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56"/>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56"/>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56"/>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56"/>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56"/>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56"/>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56"/>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56"/>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56"/>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56"/>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56"/>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56"/>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56"/>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56"/>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56"/>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56"/>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56"/>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56"/>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56"/>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56"/>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56"/>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56"/>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56"/>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56"/>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56"/>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56"/>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56"/>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56"/>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56"/>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56"/>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56"/>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56"/>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56"/>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56"/>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56"/>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56"/>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56"/>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56"/>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56"/>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56"/>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56"/>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56"/>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56"/>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56"/>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56"/>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56"/>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56"/>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56"/>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56"/>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56"/>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56"/>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56"/>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56"/>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56"/>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56"/>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56"/>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56"/>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56"/>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56"/>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56"/>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56"/>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56"/>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56"/>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56"/>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56"/>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56"/>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56"/>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56"/>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56"/>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56"/>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56"/>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56"/>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56"/>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56"/>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56"/>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56"/>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56"/>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56"/>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56"/>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56"/>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56"/>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56"/>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56"/>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56"/>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56"/>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56"/>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56"/>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56"/>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56"/>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56"/>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56"/>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56"/>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56"/>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56"/>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56"/>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56"/>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56"/>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56"/>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56"/>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56"/>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56"/>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56"/>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56"/>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56"/>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56"/>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56"/>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56"/>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56"/>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56"/>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56"/>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56"/>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56"/>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56"/>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56"/>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56"/>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56"/>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56"/>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56"/>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56"/>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56"/>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56"/>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56"/>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56"/>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56"/>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56"/>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56"/>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56"/>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56"/>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56"/>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56"/>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56"/>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56"/>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56"/>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56"/>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56"/>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56"/>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56"/>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56"/>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56"/>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56"/>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56"/>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56"/>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56"/>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56"/>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56"/>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56"/>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56"/>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56"/>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56"/>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56"/>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56"/>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56"/>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56"/>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56"/>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56"/>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56"/>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56"/>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56"/>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56"/>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56"/>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56"/>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56"/>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56"/>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56"/>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56"/>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56"/>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56"/>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56"/>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80" zoomScaleNormal="80">
      <pane ySplit="8" topLeftCell="A9" activePane="bottomLeft" state="frozen"/>
      <selection pane="bottomLeft"/>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3.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8"/>
      <c r="B1" s="8"/>
      <c r="C1" s="8"/>
      <c r="D1" s="8"/>
      <c r="E1" s="8"/>
      <c r="F1" s="8"/>
      <c r="G1" s="8"/>
      <c r="H1" s="675"/>
      <c r="I1" s="675"/>
      <c r="J1" s="675"/>
      <c r="K1" s="675"/>
      <c r="L1" s="675"/>
      <c r="M1" s="675"/>
      <c r="N1" s="675"/>
      <c r="O1" s="675"/>
      <c r="P1" s="675"/>
      <c r="Q1" s="675"/>
      <c r="R1" s="675"/>
      <c r="S1" s="675"/>
      <c r="T1" s="675"/>
      <c r="U1" s="8"/>
      <c r="V1" s="8"/>
      <c r="W1" s="8"/>
      <c r="X1" s="8"/>
      <c r="Y1" s="8"/>
      <c r="Z1" s="8"/>
      <c r="AA1" s="8"/>
      <c r="AB1" s="8"/>
      <c r="AC1" s="8"/>
    </row>
    <row r="2" ht="12.75" customHeight="1" spans="1:29" x14ac:dyDescent="0.25">
      <c r="A2" s="8"/>
      <c r="B2" s="8" t="s">
        <v>680</v>
      </c>
      <c r="C2" s="8"/>
      <c r="D2" s="8"/>
      <c r="E2" s="8"/>
      <c r="F2" s="8"/>
      <c r="G2" s="8"/>
      <c r="H2" s="675"/>
      <c r="I2" s="675"/>
      <c r="J2" s="675"/>
      <c r="K2" s="675"/>
      <c r="L2" s="675">
        <v>1</v>
      </c>
      <c r="M2" s="675"/>
      <c r="N2" s="675"/>
      <c r="O2" s="675"/>
      <c r="P2" s="675"/>
      <c r="Q2" s="675"/>
      <c r="R2" s="675"/>
      <c r="S2" s="675"/>
      <c r="T2" s="675"/>
      <c r="U2" s="8"/>
      <c r="V2" s="8"/>
      <c r="W2" s="8"/>
      <c r="X2" s="8"/>
      <c r="Y2" s="8"/>
      <c r="Z2" s="8"/>
      <c r="AA2" s="8"/>
      <c r="AB2" s="8"/>
      <c r="AC2" s="676" t="str">
        <f>_xll.ciqfunctions.udf.CIQ("3304","iq_ev_over_ltm_ebitda")</f>
        <v>(Invalid Identifier)</v>
      </c>
    </row>
    <row r="3" ht="12.75" customHeight="1" spans="1:29" x14ac:dyDescent="0.25">
      <c r="A3" s="8"/>
      <c r="B3" s="8" t="s">
        <v>681</v>
      </c>
      <c r="C3" s="8"/>
      <c r="D3" s="8"/>
      <c r="E3" s="8"/>
      <c r="F3" s="8"/>
      <c r="G3" s="8"/>
      <c r="H3" s="675"/>
      <c r="I3" s="675"/>
      <c r="J3" s="675"/>
      <c r="K3" s="675"/>
      <c r="L3" s="675">
        <f>L2+1</f>
        <v>2</v>
      </c>
      <c r="M3" s="675"/>
      <c r="N3" s="675"/>
      <c r="O3" s="675"/>
      <c r="P3" s="675"/>
      <c r="Q3" s="675"/>
      <c r="R3" s="675"/>
      <c r="S3" s="675"/>
      <c r="T3" s="675"/>
      <c r="U3" s="8"/>
      <c r="V3" s="8"/>
      <c r="W3" s="8"/>
      <c r="X3" s="8"/>
      <c r="Y3" s="8"/>
      <c r="Z3" s="8"/>
      <c r="AA3" s="8"/>
      <c r="AB3" s="8"/>
      <c r="AC3" s="8"/>
    </row>
    <row r="4" ht="12.75" customHeight="1" spans="1:29" x14ac:dyDescent="0.25">
      <c r="A4" s="8"/>
      <c r="B4" s="8" t="s">
        <v>682</v>
      </c>
      <c r="C4" s="8"/>
      <c r="D4" s="8"/>
      <c r="E4" s="8"/>
      <c r="F4" s="8"/>
      <c r="G4" s="8"/>
      <c r="H4" s="675"/>
      <c r="I4" s="675"/>
      <c r="J4" s="675"/>
      <c r="K4" s="675"/>
      <c r="L4" s="675">
        <f>L3+1</f>
        <v>3</v>
      </c>
      <c r="M4" s="675"/>
      <c r="N4" s="675"/>
      <c r="O4" s="675"/>
      <c r="P4" s="675"/>
      <c r="Q4" s="675"/>
      <c r="R4" s="675"/>
      <c r="S4" s="675"/>
      <c r="T4" s="675"/>
      <c r="U4" s="8"/>
      <c r="V4" s="8"/>
      <c r="W4" s="8"/>
      <c r="X4" s="8"/>
      <c r="Y4" s="8"/>
      <c r="Z4" s="8"/>
      <c r="AA4" s="8"/>
      <c r="AB4" s="8"/>
      <c r="AC4" s="8"/>
    </row>
    <row r="5" ht="12.75" customHeight="1" spans="1:29" x14ac:dyDescent="0.25">
      <c r="A5" s="8"/>
      <c r="B5" s="8" t="s">
        <v>683</v>
      </c>
      <c r="C5" s="8"/>
      <c r="D5" s="8"/>
      <c r="E5" s="8"/>
      <c r="F5" s="8"/>
      <c r="G5" s="8"/>
      <c r="H5" s="675"/>
      <c r="I5" s="675"/>
      <c r="J5" s="675"/>
      <c r="K5" s="675"/>
      <c r="L5" s="675">
        <f>L4+1</f>
        <v>4</v>
      </c>
      <c r="M5" s="675"/>
      <c r="N5" s="675"/>
      <c r="O5" s="675"/>
      <c r="P5" s="675"/>
      <c r="Q5" s="675"/>
      <c r="R5" s="675"/>
      <c r="S5" s="675"/>
      <c r="T5" s="675"/>
      <c r="U5" s="8"/>
      <c r="V5" s="8"/>
      <c r="W5" s="8"/>
      <c r="X5" s="8"/>
      <c r="Y5" s="8"/>
      <c r="Z5" s="8"/>
      <c r="AA5" s="8"/>
      <c r="AB5" s="8"/>
      <c r="AC5" s="8"/>
    </row>
    <row r="6" ht="12.75" customHeight="1" spans="1:29" x14ac:dyDescent="0.25">
      <c r="A6" s="8"/>
      <c r="B6" s="8"/>
      <c r="C6" s="8"/>
      <c r="D6" s="8"/>
      <c r="E6" s="8"/>
      <c r="F6" s="8"/>
      <c r="G6" s="8"/>
      <c r="H6" s="675"/>
      <c r="I6" s="675"/>
      <c r="J6" s="675"/>
      <c r="K6" s="675"/>
      <c r="L6" s="675">
        <f>L5+1</f>
        <v>5</v>
      </c>
      <c r="M6" s="675"/>
      <c r="N6" s="675"/>
      <c r="O6" s="675"/>
      <c r="P6" s="675"/>
      <c r="Q6" s="675"/>
      <c r="R6" s="675"/>
      <c r="S6" s="675"/>
      <c r="T6" s="675"/>
      <c r="U6" s="8"/>
      <c r="V6" s="8"/>
      <c r="W6" s="8"/>
      <c r="X6" s="8"/>
      <c r="Y6" s="8"/>
      <c r="Z6" s="8"/>
      <c r="AA6" s="8"/>
      <c r="AB6" s="8"/>
      <c r="AC6" s="8"/>
    </row>
    <row r="7" ht="12.75" customHeight="1" spans="1:29" x14ac:dyDescent="0.25">
      <c r="A7" s="8"/>
      <c r="B7" s="8" t="s">
        <v>684</v>
      </c>
      <c r="C7" s="8"/>
      <c r="D7" s="8"/>
      <c r="E7" s="8"/>
      <c r="F7" s="8"/>
      <c r="G7" s="8"/>
      <c r="H7" s="675"/>
      <c r="I7" s="675"/>
      <c r="J7" s="675"/>
      <c r="K7" s="675"/>
      <c r="L7" s="675"/>
      <c r="M7" s="675"/>
      <c r="N7" s="675"/>
      <c r="O7" s="675"/>
      <c r="P7" s="675"/>
      <c r="Q7" s="675"/>
      <c r="R7" s="675"/>
      <c r="S7" s="675"/>
      <c r="T7" s="675"/>
      <c r="U7" s="8"/>
      <c r="V7" s="8"/>
      <c r="W7" s="8"/>
      <c r="X7" s="8"/>
      <c r="Y7" s="8"/>
      <c r="Z7" s="8"/>
      <c r="AA7" s="8"/>
      <c r="AB7" s="8"/>
      <c r="AC7" s="8"/>
    </row>
    <row r="8" ht="25.5" customHeight="1" spans="1:29" x14ac:dyDescent="0.25">
      <c r="A8" s="8"/>
      <c r="B8" s="677" t="s">
        <v>685</v>
      </c>
      <c r="C8" s="57"/>
      <c r="D8" s="57"/>
      <c r="E8" s="57"/>
      <c r="F8" s="57"/>
      <c r="G8" s="57"/>
      <c r="H8" s="675"/>
      <c r="I8" s="675"/>
      <c r="J8" s="675"/>
      <c r="K8" s="675"/>
      <c r="L8" s="675"/>
      <c r="M8" s="675"/>
      <c r="N8" s="675"/>
      <c r="O8" s="675"/>
      <c r="P8" s="675"/>
      <c r="Q8" s="675"/>
      <c r="R8" s="675"/>
      <c r="S8" s="675"/>
      <c r="T8" s="675"/>
      <c r="U8" s="8"/>
      <c r="V8" s="8"/>
      <c r="W8" s="8"/>
      <c r="X8" s="8"/>
      <c r="Y8" s="8"/>
      <c r="Z8" s="8"/>
      <c r="AA8" s="8"/>
      <c r="AB8" s="8"/>
      <c r="AC8" s="8"/>
    </row>
    <row r="9" ht="31.5" customHeight="1" spans="1:29" x14ac:dyDescent="0.25">
      <c r="A9" s="8"/>
      <c r="B9" s="678" t="s">
        <v>686</v>
      </c>
      <c r="C9" s="678"/>
      <c r="D9" s="679"/>
      <c r="E9" s="679"/>
      <c r="F9" s="679"/>
      <c r="G9" s="679"/>
      <c r="H9" s="675"/>
      <c r="I9" s="675"/>
      <c r="J9" s="8"/>
      <c r="K9" s="8"/>
      <c r="L9" s="8"/>
      <c r="M9" s="8"/>
      <c r="N9" s="8"/>
      <c r="O9" s="8"/>
      <c r="P9" s="8"/>
      <c r="Q9" s="8"/>
      <c r="R9" s="8"/>
      <c r="S9" s="8"/>
      <c r="T9" s="8"/>
      <c r="U9" s="8"/>
      <c r="V9" s="8"/>
      <c r="W9" s="8"/>
      <c r="X9" s="8"/>
      <c r="Y9" s="8"/>
      <c r="Z9" s="8"/>
      <c r="AA9" s="8"/>
      <c r="AB9" s="8"/>
      <c r="AC9" s="8"/>
    </row>
    <row r="10" ht="12.75" customHeight="1" spans="1:29" x14ac:dyDescent="0.25">
      <c r="A10" s="8"/>
      <c r="B10" s="8"/>
      <c r="C10" s="8"/>
      <c r="D10" s="8"/>
      <c r="E10" s="8"/>
      <c r="F10" s="8"/>
      <c r="G10" s="8"/>
      <c r="H10" s="675"/>
      <c r="I10" s="675"/>
      <c r="J10" s="8"/>
      <c r="K10" s="8"/>
      <c r="L10" s="8"/>
      <c r="M10" s="8"/>
      <c r="N10" s="8"/>
      <c r="O10" s="8"/>
      <c r="P10" s="8"/>
      <c r="Q10" s="8"/>
      <c r="R10" s="8"/>
      <c r="S10" s="8"/>
      <c r="T10" s="8"/>
      <c r="U10" s="8"/>
      <c r="V10" s="8"/>
      <c r="W10" s="8"/>
      <c r="X10" s="8"/>
      <c r="Y10" s="8"/>
      <c r="Z10" s="8"/>
      <c r="AA10" s="8"/>
      <c r="AB10" s="8"/>
      <c r="AC10" s="8"/>
    </row>
    <row r="11" ht="12.75" customHeight="1" spans="1:29" x14ac:dyDescent="0.25">
      <c r="A11" s="8"/>
      <c r="B11" s="680"/>
      <c r="C11" s="680" t="s">
        <v>687</v>
      </c>
      <c r="D11" s="680" t="s">
        <v>688</v>
      </c>
      <c r="E11" s="680"/>
      <c r="F11" s="680"/>
      <c r="G11" s="680"/>
      <c r="H11" s="675"/>
      <c r="I11" s="675"/>
      <c r="J11" s="8"/>
      <c r="K11" s="8"/>
      <c r="L11" s="8"/>
      <c r="M11" s="8"/>
      <c r="N11" s="8"/>
      <c r="O11" s="8"/>
      <c r="P11" s="8"/>
      <c r="Q11" s="8"/>
      <c r="R11" s="8"/>
      <c r="S11" s="8"/>
      <c r="T11" s="8"/>
      <c r="U11" s="8"/>
      <c r="V11" s="8"/>
      <c r="W11" s="8"/>
      <c r="X11" s="8"/>
      <c r="Y11" s="8"/>
      <c r="Z11" s="8"/>
      <c r="AA11" s="8"/>
      <c r="AB11" s="8"/>
      <c r="AC11" s="8"/>
    </row>
    <row r="12" ht="12.75" customHeight="1" spans="1:29" x14ac:dyDescent="0.25">
      <c r="A12" s="8"/>
      <c r="B12" s="681" t="s">
        <v>689</v>
      </c>
      <c r="C12" s="681" t="s">
        <v>690</v>
      </c>
      <c r="D12" s="681" t="s">
        <v>691</v>
      </c>
      <c r="E12" s="681" t="s">
        <v>692</v>
      </c>
      <c r="F12" s="681" t="s">
        <v>693</v>
      </c>
      <c r="G12" s="681" t="s">
        <v>22</v>
      </c>
      <c r="H12" s="675"/>
      <c r="I12" s="675"/>
      <c r="J12" s="8"/>
      <c r="K12" s="8">
        <f>J12+1</f>
        <v>1</v>
      </c>
      <c r="L12" s="8">
        <f>K12+1</f>
        <v>2</v>
      </c>
      <c r="M12" s="8">
        <f>L12+1</f>
        <v>3</v>
      </c>
      <c r="N12" s="8">
        <f>M12+1</f>
        <v>4</v>
      </c>
      <c r="O12" s="8">
        <f>N12+1</f>
        <v>5</v>
      </c>
      <c r="P12" s="675"/>
      <c r="Q12" s="675">
        <f>P12+1</f>
        <v>1</v>
      </c>
      <c r="R12" s="675">
        <f>Q12+1</f>
        <v>2</v>
      </c>
      <c r="S12" s="675">
        <f>R12+1</f>
        <v>3</v>
      </c>
      <c r="T12" s="675">
        <f>S12+1</f>
        <v>4</v>
      </c>
      <c r="U12" s="675">
        <f>T12+1</f>
        <v>5</v>
      </c>
      <c r="V12" s="8"/>
      <c r="W12" s="8"/>
      <c r="X12" s="8"/>
      <c r="Y12" s="8"/>
      <c r="Z12" s="8"/>
      <c r="AA12" s="8"/>
      <c r="AB12" s="8"/>
      <c r="AC12" s="8"/>
    </row>
    <row r="13" ht="12.75" customHeight="1" hidden="1" spans="1:29" x14ac:dyDescent="0.25" outlineLevel="1" collapsed="1">
      <c r="A13" s="8"/>
      <c r="B13" s="669" t="s">
        <v>694</v>
      </c>
      <c r="C13" s="534" t="str">
        <f t="shared" ref="C13:C30" si="0">IF(J13="","",IFERROR(MATCH(B13,$K13:O13,0),"NO"))</f>
        <v>NO</v>
      </c>
      <c r="D13" s="669">
        <v>1</v>
      </c>
      <c r="E13" s="8" t="str">
        <f t="shared" ref="E13:E30" si="1">IF(INDEX($K13:$O13,,MATCH($D13,$K$12:$O$12,0))=0,"No Result",INDEX($K13:$O13,,MATCH($D13,$K$12:$O$12,0)))</f>
        <v>No Result</v>
      </c>
      <c r="F13" s="8">
        <f t="shared" ref="F13:F30" si="2">IF(INDEX($Q13:$U13,,MATCH($D13,$Q$12:$U$12,0))=0,"",INDEX($Q13:$U13,,MATCH($D13,$Q$12:$U$12,0)))</f>
      </c>
      <c r="G13" s="682" t="str">
        <f t="shared" ref="G13:G30" si="3">IF(OR(_xll.ciqfunctions.udf.CIQ($F13,"IQ_COMPANY_TICKER")=0,_xll.ciqfunctions.udf.CIQ($F13,"IQ_COMPANY_TICKER")="(Invalid Identifier)"),"-",_xll.ciqfunctions.udf.CIQ($F13,"IQ_COMPANY_TICKER"))</f>
        <v>-</v>
      </c>
      <c r="H13" s="675"/>
      <c r="I13" s="675"/>
      <c r="J13" s="8" t="str">
        <f t="shared" ref="J13:J30" si="4">_xll.ciqfunctions.udf.CIQRANGEA($B13,"IQ_COMPANY_NAME_QUICK_MATCH",1,5,,,,,,,"NAME")</f>
        <v>(Invalid Identifier)</v>
      </c>
      <c r="K13" s="8"/>
      <c r="L13" s="8"/>
      <c r="M13" s="8"/>
      <c r="N13" s="8"/>
      <c r="O13" s="675"/>
      <c r="P13" s="675" t="str">
        <f t="shared" ref="P13:P30" si="5">_xll.ciqfunctions.udf.CIQRANGEA($B13,"IQ_COMPANY_ID_QUICK_MATCH",1,5,,,,,,,"ID")</f>
        <v>(Invalid Identifier)</v>
      </c>
      <c r="Q13" s="675"/>
      <c r="R13" s="675"/>
      <c r="S13" s="675"/>
      <c r="T13" s="675"/>
      <c r="U13" s="675"/>
      <c r="V13" s="8"/>
      <c r="W13" s="8"/>
      <c r="X13" s="8"/>
      <c r="Y13" s="8"/>
      <c r="Z13" s="8"/>
      <c r="AA13" s="8"/>
      <c r="AB13" s="8"/>
      <c r="AC13" s="8"/>
    </row>
    <row r="14" ht="12.75" customHeight="1" spans="1:29" x14ac:dyDescent="0.25">
      <c r="A14" s="8"/>
      <c r="B14" s="669" t="s">
        <v>695</v>
      </c>
      <c r="C14" s="534" t="str">
        <f t="shared" si="0"/>
        <v>NO</v>
      </c>
      <c r="D14" s="669">
        <v>1</v>
      </c>
      <c r="E14" s="8" t="str">
        <f t="shared" si="1"/>
        <v>Republic Services, Inc.</v>
      </c>
      <c r="F14" s="8" t="str">
        <f t="shared" si="2"/>
        <v>IQ386225</v>
      </c>
      <c r="G14" s="682" t="str">
        <f t="shared" si="3"/>
        <v>NYSE:RSG</v>
      </c>
      <c r="H14" s="675"/>
      <c r="I14" s="675"/>
      <c r="J14" s="8" t="str">
        <f t="shared" si="4"/>
        <v>NAME</v>
      </c>
      <c r="K14" s="8" t="s">
        <v>21</v>
      </c>
      <c r="L14" s="8" t="s">
        <v>696</v>
      </c>
      <c r="M14" s="8" t="s">
        <v>697</v>
      </c>
      <c r="N14" s="8" t="s">
        <v>698</v>
      </c>
      <c r="O14" s="675" t="s">
        <v>699</v>
      </c>
      <c r="P14" s="675" t="str">
        <f t="shared" si="5"/>
        <v>ID</v>
      </c>
      <c r="Q14" s="675" t="s">
        <v>672</v>
      </c>
      <c r="R14" s="675" t="s">
        <v>700</v>
      </c>
      <c r="S14" s="675" t="s">
        <v>701</v>
      </c>
      <c r="T14" s="675" t="s">
        <v>702</v>
      </c>
      <c r="U14" s="675" t="s">
        <v>703</v>
      </c>
      <c r="V14" s="8"/>
      <c r="W14" s="8"/>
      <c r="X14" s="8"/>
      <c r="Y14" s="8"/>
      <c r="Z14" s="8"/>
      <c r="AA14" s="8"/>
      <c r="AB14" s="8"/>
      <c r="AC14" s="8"/>
    </row>
    <row r="15" ht="12.75" customHeight="1" spans="1:29" x14ac:dyDescent="0.25">
      <c r="A15" s="8"/>
      <c r="B15" s="669" t="s">
        <v>704</v>
      </c>
      <c r="C15" s="534" t="str">
        <f t="shared" si="0"/>
        <v>NO</v>
      </c>
      <c r="D15" s="669">
        <v>1</v>
      </c>
      <c r="E15" s="8" t="str">
        <f t="shared" si="1"/>
        <v>Waste Management, Inc.</v>
      </c>
      <c r="F15" s="8" t="str">
        <f t="shared" si="2"/>
        <v>IQ190694</v>
      </c>
      <c r="G15" s="682" t="str">
        <f t="shared" si="3"/>
        <v>NYSE:WM</v>
      </c>
      <c r="H15" s="675"/>
      <c r="I15" s="675"/>
      <c r="J15" s="8" t="str">
        <f t="shared" si="4"/>
        <v>NAME</v>
      </c>
      <c r="K15" s="8" t="s">
        <v>606</v>
      </c>
      <c r="L15" s="8" t="s">
        <v>705</v>
      </c>
      <c r="M15" s="8" t="s">
        <v>706</v>
      </c>
      <c r="N15" s="8" t="s">
        <v>707</v>
      </c>
      <c r="O15" s="675" t="s">
        <v>708</v>
      </c>
      <c r="P15" s="675" t="str">
        <f t="shared" si="5"/>
        <v>ID</v>
      </c>
      <c r="Q15" s="675" t="s">
        <v>675</v>
      </c>
      <c r="R15" s="675" t="s">
        <v>709</v>
      </c>
      <c r="S15" s="675" t="s">
        <v>710</v>
      </c>
      <c r="T15" s="675" t="s">
        <v>711</v>
      </c>
      <c r="U15" s="675" t="s">
        <v>712</v>
      </c>
      <c r="V15" s="8"/>
      <c r="W15" s="8"/>
      <c r="X15" s="8"/>
      <c r="Y15" s="8"/>
      <c r="Z15" s="8"/>
      <c r="AA15" s="8"/>
      <c r="AB15" s="8"/>
      <c r="AC15" s="8"/>
    </row>
    <row r="16" ht="12.75" customHeight="1" spans="1:29" x14ac:dyDescent="0.25">
      <c r="A16" s="8"/>
      <c r="B16" s="669" t="s">
        <v>713</v>
      </c>
      <c r="C16" s="534" t="str">
        <f t="shared" si="0"/>
        <v>NO</v>
      </c>
      <c r="D16" s="669">
        <v>1</v>
      </c>
      <c r="E16" s="8" t="str">
        <f t="shared" si="1"/>
        <v>Waste Connections, Inc.</v>
      </c>
      <c r="F16" s="8" t="str">
        <f t="shared" si="2"/>
        <v>IQ384586</v>
      </c>
      <c r="G16" s="682" t="str">
        <f t="shared" si="3"/>
        <v>NYSE:WCN</v>
      </c>
      <c r="H16" s="675"/>
      <c r="I16" s="675"/>
      <c r="J16" s="8" t="str">
        <f t="shared" si="4"/>
        <v>NAME</v>
      </c>
      <c r="K16" s="8" t="s">
        <v>610</v>
      </c>
      <c r="L16" s="8" t="s">
        <v>714</v>
      </c>
      <c r="M16" s="8" t="s">
        <v>610</v>
      </c>
      <c r="N16" s="8" t="s">
        <v>715</v>
      </c>
      <c r="O16" s="675" t="s">
        <v>716</v>
      </c>
      <c r="P16" s="675" t="str">
        <f t="shared" si="5"/>
        <v>ID</v>
      </c>
      <c r="Q16" s="675" t="s">
        <v>676</v>
      </c>
      <c r="R16" s="675" t="s">
        <v>717</v>
      </c>
      <c r="S16" s="675" t="s">
        <v>718</v>
      </c>
      <c r="T16" s="675" t="s">
        <v>719</v>
      </c>
      <c r="U16" s="675" t="s">
        <v>720</v>
      </c>
      <c r="V16" s="8"/>
      <c r="W16" s="8"/>
      <c r="X16" s="8"/>
      <c r="Y16" s="8"/>
      <c r="Z16" s="8"/>
      <c r="AA16" s="8"/>
      <c r="AB16" s="8"/>
      <c r="AC16" s="8"/>
    </row>
    <row r="17" ht="12.75" customHeight="1" spans="1:29" x14ac:dyDescent="0.25">
      <c r="A17" s="8"/>
      <c r="B17" s="669" t="s">
        <v>721</v>
      </c>
      <c r="C17" s="534" t="str">
        <f t="shared" si="0"/>
        <v>NO</v>
      </c>
      <c r="D17" s="669">
        <v>1</v>
      </c>
      <c r="E17" s="8" t="str">
        <f t="shared" si="1"/>
        <v>GFL Environmental Inc.</v>
      </c>
      <c r="F17" s="8" t="str">
        <f t="shared" si="2"/>
        <v>IQ58576575</v>
      </c>
      <c r="G17" s="682" t="str">
        <f t="shared" si="3"/>
        <v>TSX:GFL</v>
      </c>
      <c r="H17" s="675"/>
      <c r="I17" s="675"/>
      <c r="J17" s="8" t="str">
        <f t="shared" si="4"/>
        <v>NAME</v>
      </c>
      <c r="K17" s="8" t="s">
        <v>615</v>
      </c>
      <c r="L17" s="8" t="s">
        <v>722</v>
      </c>
      <c r="M17" s="8" t="s">
        <v>723</v>
      </c>
      <c r="N17" s="8" t="s">
        <v>724</v>
      </c>
      <c r="O17" s="675" t="s">
        <v>725</v>
      </c>
      <c r="P17" s="675" t="str">
        <f t="shared" si="5"/>
        <v>ID</v>
      </c>
      <c r="Q17" s="675" t="s">
        <v>677</v>
      </c>
      <c r="R17" s="675" t="s">
        <v>726</v>
      </c>
      <c r="S17" s="675" t="s">
        <v>727</v>
      </c>
      <c r="T17" s="675" t="s">
        <v>728</v>
      </c>
      <c r="U17" s="675" t="s">
        <v>729</v>
      </c>
      <c r="V17" s="8"/>
      <c r="W17" s="8"/>
      <c r="X17" s="8"/>
      <c r="Y17" s="8"/>
      <c r="Z17" s="8"/>
      <c r="AA17" s="8"/>
      <c r="AB17" s="8"/>
      <c r="AC17" s="8"/>
    </row>
    <row r="18" ht="12.75" customHeight="1" spans="1:29" x14ac:dyDescent="0.25">
      <c r="A18" s="8"/>
      <c r="B18" s="669" t="s">
        <v>730</v>
      </c>
      <c r="C18" s="534" t="str">
        <f t="shared" si="0"/>
        <v>NO</v>
      </c>
      <c r="D18" s="669">
        <v>1</v>
      </c>
      <c r="E18" s="8" t="str">
        <f t="shared" si="1"/>
        <v>Casella Waste Systems, Inc.</v>
      </c>
      <c r="F18" s="8" t="str">
        <f t="shared" si="2"/>
        <v>IQ26175</v>
      </c>
      <c r="G18" s="682" t="str">
        <f t="shared" si="3"/>
        <v>NasdaqGS:CWST</v>
      </c>
      <c r="H18" s="675"/>
      <c r="I18" s="675"/>
      <c r="J18" s="8" t="str">
        <f t="shared" si="4"/>
        <v>NAME</v>
      </c>
      <c r="K18" s="8" t="s">
        <v>619</v>
      </c>
      <c r="L18" s="8" t="s">
        <v>731</v>
      </c>
      <c r="M18" s="8" t="s">
        <v>732</v>
      </c>
      <c r="N18" s="8" t="s">
        <v>733</v>
      </c>
      <c r="O18" s="675" t="s">
        <v>734</v>
      </c>
      <c r="P18" s="675" t="str">
        <f t="shared" si="5"/>
        <v>ID</v>
      </c>
      <c r="Q18" s="675" t="s">
        <v>678</v>
      </c>
      <c r="R18" s="675" t="s">
        <v>735</v>
      </c>
      <c r="S18" s="675" t="s">
        <v>736</v>
      </c>
      <c r="T18" s="675" t="s">
        <v>737</v>
      </c>
      <c r="U18" s="675" t="s">
        <v>738</v>
      </c>
      <c r="V18" s="8"/>
      <c r="W18" s="8"/>
      <c r="X18" s="8"/>
      <c r="Y18" s="8"/>
      <c r="Z18" s="8"/>
      <c r="AA18" s="8"/>
      <c r="AB18" s="8"/>
      <c r="AC18" s="8"/>
    </row>
    <row r="19" ht="12.75" customHeight="1" spans="1:29" x14ac:dyDescent="0.25">
      <c r="A19" s="8"/>
      <c r="B19" s="669" t="s">
        <v>739</v>
      </c>
      <c r="C19" s="534" t="str">
        <f t="shared" si="0"/>
        <v>NO</v>
      </c>
      <c r="D19" s="669">
        <v>1</v>
      </c>
      <c r="E19" s="8" t="str">
        <f t="shared" si="1"/>
        <v>Clean Harbors, Inc.</v>
      </c>
      <c r="F19" s="8" t="str">
        <f t="shared" si="2"/>
        <v>IQ26565</v>
      </c>
      <c r="G19" s="682" t="str">
        <f t="shared" si="3"/>
        <v>NYSE:CLH</v>
      </c>
      <c r="H19" s="675"/>
      <c r="I19" s="675"/>
      <c r="J19" s="8" t="str">
        <f t="shared" si="4"/>
        <v>NAME</v>
      </c>
      <c r="K19" s="8" t="s">
        <v>623</v>
      </c>
      <c r="L19" s="8" t="s">
        <v>740</v>
      </c>
      <c r="M19" s="8" t="s">
        <v>741</v>
      </c>
      <c r="N19" s="8" t="s">
        <v>742</v>
      </c>
      <c r="O19" s="675" t="s">
        <v>743</v>
      </c>
      <c r="P19" s="675" t="str">
        <f t="shared" si="5"/>
        <v>ID</v>
      </c>
      <c r="Q19" s="675" t="s">
        <v>679</v>
      </c>
      <c r="R19" s="675" t="s">
        <v>744</v>
      </c>
      <c r="S19" s="675" t="s">
        <v>745</v>
      </c>
      <c r="T19" s="675" t="s">
        <v>746</v>
      </c>
      <c r="U19" s="675" t="s">
        <v>747</v>
      </c>
      <c r="V19" s="8"/>
      <c r="W19" s="8"/>
      <c r="X19" s="8"/>
      <c r="Y19" s="8"/>
      <c r="Z19" s="8"/>
      <c r="AA19" s="8"/>
      <c r="AB19" s="8"/>
      <c r="AC19" s="8"/>
    </row>
    <row r="20" ht="12.75" customHeight="1" spans="1:29" x14ac:dyDescent="0.25">
      <c r="A20" s="8"/>
      <c r="B20" s="669" t="s">
        <v>748</v>
      </c>
      <c r="C20" s="534">
        <f t="shared" si="0"/>
        <v>2</v>
      </c>
      <c r="D20" s="669">
        <v>1</v>
      </c>
      <c r="E20" s="8" t="str">
        <f t="shared" si="1"/>
        <v>Apple Inc.</v>
      </c>
      <c r="F20" s="8" t="str">
        <f t="shared" si="2"/>
        <v>IQ24937</v>
      </c>
      <c r="G20" s="682" t="str">
        <f t="shared" si="3"/>
        <v>NasdaqGS:AAPL</v>
      </c>
      <c r="H20" s="675"/>
      <c r="I20" s="675"/>
      <c r="J20" s="8" t="str">
        <f t="shared" si="4"/>
        <v>NAME</v>
      </c>
      <c r="K20" s="8" t="s">
        <v>749</v>
      </c>
      <c r="L20" s="8" t="s">
        <v>748</v>
      </c>
      <c r="M20" s="8" t="s">
        <v>750</v>
      </c>
      <c r="N20" s="8" t="s">
        <v>751</v>
      </c>
      <c r="O20" s="675" t="s">
        <v>749</v>
      </c>
      <c r="P20" s="675" t="str">
        <f t="shared" si="5"/>
        <v>ID</v>
      </c>
      <c r="Q20" s="675" t="s">
        <v>752</v>
      </c>
      <c r="R20" s="675" t="s">
        <v>753</v>
      </c>
      <c r="S20" s="675" t="s">
        <v>754</v>
      </c>
      <c r="T20" s="675" t="s">
        <v>755</v>
      </c>
      <c r="U20" s="675" t="s">
        <v>756</v>
      </c>
      <c r="V20" s="8"/>
      <c r="W20" s="8"/>
      <c r="X20" s="8"/>
      <c r="Y20" s="8"/>
      <c r="Z20" s="8"/>
      <c r="AA20" s="8"/>
      <c r="AB20" s="8"/>
      <c r="AC20" s="8"/>
    </row>
    <row r="21" ht="12.75" customHeight="1" spans="1:29" x14ac:dyDescent="0.25">
      <c r="A21" s="8"/>
      <c r="B21" s="669" t="s">
        <v>757</v>
      </c>
      <c r="C21" s="534" t="str">
        <f t="shared" si="0"/>
        <v>NO</v>
      </c>
      <c r="D21" s="669">
        <v>1</v>
      </c>
      <c r="E21" s="8" t="str">
        <f t="shared" si="1"/>
        <v>Oracle Corporation</v>
      </c>
      <c r="F21" s="8" t="str">
        <f t="shared" si="2"/>
        <v>IQ22247</v>
      </c>
      <c r="G21" s="682" t="str">
        <f t="shared" si="3"/>
        <v>NYSE:ORCL</v>
      </c>
      <c r="H21" s="675"/>
      <c r="I21" s="675"/>
      <c r="J21" s="8" t="str">
        <f t="shared" si="4"/>
        <v>NAME</v>
      </c>
      <c r="K21" s="8" t="s">
        <v>758</v>
      </c>
      <c r="L21" s="8" t="s">
        <v>759</v>
      </c>
      <c r="M21" s="8" t="s">
        <v>760</v>
      </c>
      <c r="N21" s="8" t="s">
        <v>761</v>
      </c>
      <c r="O21" s="675" t="s">
        <v>762</v>
      </c>
      <c r="P21" s="675" t="str">
        <f t="shared" si="5"/>
        <v>ID</v>
      </c>
      <c r="Q21" s="675" t="s">
        <v>763</v>
      </c>
      <c r="R21" s="675" t="s">
        <v>764</v>
      </c>
      <c r="S21" s="675" t="s">
        <v>765</v>
      </c>
      <c r="T21" s="675" t="s">
        <v>766</v>
      </c>
      <c r="U21" s="675" t="s">
        <v>767</v>
      </c>
      <c r="V21" s="8"/>
      <c r="W21" s="8"/>
      <c r="X21" s="8"/>
      <c r="Y21" s="8"/>
      <c r="Z21" s="8"/>
      <c r="AA21" s="8"/>
      <c r="AB21" s="8"/>
      <c r="AC21" s="8"/>
    </row>
    <row r="22" ht="12.75" customHeight="1" spans="1:29" x14ac:dyDescent="0.25">
      <c r="A22" s="8"/>
      <c r="B22" s="669" t="s">
        <v>768</v>
      </c>
      <c r="C22" s="534" t="str">
        <f t="shared" si="0"/>
        <v>NO</v>
      </c>
      <c r="D22" s="669">
        <v>1</v>
      </c>
      <c r="E22" s="8" t="str">
        <f t="shared" si="1"/>
        <v>Citrix Systems, Inc.</v>
      </c>
      <c r="F22" s="8" t="str">
        <f t="shared" si="2"/>
        <v>IQ26524</v>
      </c>
      <c r="G22" s="682" t="str">
        <f t="shared" si="3"/>
        <v>NasdaqGM:CTXS</v>
      </c>
      <c r="H22" s="675"/>
      <c r="I22" s="675"/>
      <c r="J22" s="8" t="str">
        <f t="shared" si="4"/>
        <v>NAME</v>
      </c>
      <c r="K22" s="8" t="s">
        <v>769</v>
      </c>
      <c r="L22" s="8" t="s">
        <v>770</v>
      </c>
      <c r="M22" s="8" t="s">
        <v>771</v>
      </c>
      <c r="N22" s="8" t="s">
        <v>772</v>
      </c>
      <c r="O22" s="675" t="s">
        <v>773</v>
      </c>
      <c r="P22" s="675" t="str">
        <f t="shared" si="5"/>
        <v>ID</v>
      </c>
      <c r="Q22" s="675" t="s">
        <v>774</v>
      </c>
      <c r="R22" s="675" t="s">
        <v>775</v>
      </c>
      <c r="S22" s="675" t="s">
        <v>776</v>
      </c>
      <c r="T22" s="675" t="s">
        <v>777</v>
      </c>
      <c r="U22" s="675" t="s">
        <v>778</v>
      </c>
      <c r="V22" s="8"/>
      <c r="W22" s="8"/>
      <c r="X22" s="8"/>
      <c r="Y22" s="8"/>
      <c r="Z22" s="8"/>
      <c r="AA22" s="8"/>
      <c r="AB22" s="8"/>
      <c r="AC22" s="8"/>
    </row>
    <row r="23" ht="12.75" customHeight="1" spans="1:29" x14ac:dyDescent="0.25">
      <c r="A23" s="8"/>
      <c r="B23" s="669" t="s">
        <v>779</v>
      </c>
      <c r="C23" s="534" t="str">
        <f t="shared" si="0"/>
        <v>NO</v>
      </c>
      <c r="D23" s="669">
        <v>1</v>
      </c>
      <c r="E23" s="8" t="str">
        <f t="shared" si="1"/>
        <v>Cyren Ltd.</v>
      </c>
      <c r="F23" s="8" t="str">
        <f t="shared" si="2"/>
        <v>IQ26767</v>
      </c>
      <c r="G23" s="682" t="str">
        <f t="shared" si="3"/>
        <v>OTCPK:CYRN.Q</v>
      </c>
      <c r="H23" s="675"/>
      <c r="I23" s="675"/>
      <c r="J23" s="8" t="str">
        <f t="shared" si="4"/>
        <v>NAME</v>
      </c>
      <c r="K23" s="8" t="s">
        <v>780</v>
      </c>
      <c r="L23" s="8" t="s">
        <v>781</v>
      </c>
      <c r="M23" s="8" t="s">
        <v>782</v>
      </c>
      <c r="N23" s="8" t="s">
        <v>782</v>
      </c>
      <c r="O23" s="675" t="s">
        <v>782</v>
      </c>
      <c r="P23" s="675" t="str">
        <f t="shared" si="5"/>
        <v>ID</v>
      </c>
      <c r="Q23" s="675" t="s">
        <v>783</v>
      </c>
      <c r="R23" s="675" t="s">
        <v>784</v>
      </c>
      <c r="S23" s="675" t="s">
        <v>785</v>
      </c>
      <c r="T23" s="675" t="s">
        <v>786</v>
      </c>
      <c r="U23" s="675" t="s">
        <v>787</v>
      </c>
      <c r="V23" s="8"/>
      <c r="W23" s="8"/>
      <c r="X23" s="8"/>
      <c r="Y23" s="8"/>
      <c r="Z23" s="8"/>
      <c r="AA23" s="8"/>
      <c r="AB23" s="8"/>
      <c r="AC23" s="8"/>
    </row>
    <row r="24" ht="12.75" customHeight="1" spans="1:29" x14ac:dyDescent="0.25">
      <c r="A24" s="8"/>
      <c r="B24" s="669" t="s">
        <v>788</v>
      </c>
      <c r="C24" s="534" t="str">
        <f t="shared" si="0"/>
        <v>NO</v>
      </c>
      <c r="D24" s="669">
        <v>1</v>
      </c>
      <c r="E24" s="8" t="str">
        <f t="shared" si="1"/>
        <v>Commvault Systems, Inc.</v>
      </c>
      <c r="F24" s="8" t="str">
        <f t="shared" si="2"/>
        <v>IQ26789</v>
      </c>
      <c r="G24" s="682" t="str">
        <f t="shared" si="3"/>
        <v>NasdaqGS:CVLT</v>
      </c>
      <c r="H24" s="675"/>
      <c r="I24" s="675"/>
      <c r="J24" s="8" t="str">
        <f t="shared" si="4"/>
        <v>NAME</v>
      </c>
      <c r="K24" s="8" t="s">
        <v>789</v>
      </c>
      <c r="L24" s="8" t="s">
        <v>790</v>
      </c>
      <c r="M24" s="8" t="s">
        <v>791</v>
      </c>
      <c r="N24" s="8" t="s">
        <v>792</v>
      </c>
      <c r="O24" s="675" t="s">
        <v>793</v>
      </c>
      <c r="P24" s="675" t="str">
        <f t="shared" si="5"/>
        <v>ID</v>
      </c>
      <c r="Q24" s="675" t="s">
        <v>794</v>
      </c>
      <c r="R24" s="675" t="s">
        <v>795</v>
      </c>
      <c r="S24" s="675" t="s">
        <v>796</v>
      </c>
      <c r="T24" s="675" t="s">
        <v>797</v>
      </c>
      <c r="U24" s="675" t="s">
        <v>798</v>
      </c>
      <c r="V24" s="8"/>
      <c r="W24" s="8"/>
      <c r="X24" s="8"/>
      <c r="Y24" s="8"/>
      <c r="Z24" s="8"/>
      <c r="AA24" s="8"/>
      <c r="AB24" s="8"/>
      <c r="AC24" s="8"/>
    </row>
    <row r="25" ht="12.75" customHeight="1" spans="1:29" x14ac:dyDescent="0.25">
      <c r="A25" s="8"/>
      <c r="B25" s="669" t="s">
        <v>799</v>
      </c>
      <c r="C25" s="534">
        <f t="shared" si="0"/>
        <v>1</v>
      </c>
      <c r="D25" s="669">
        <v>1</v>
      </c>
      <c r="E25" s="8" t="str">
        <f t="shared" si="1"/>
        <v>eGain Corporation</v>
      </c>
      <c r="F25" s="8" t="str">
        <f t="shared" si="2"/>
        <v>IQ27928</v>
      </c>
      <c r="G25" s="682" t="str">
        <f t="shared" si="3"/>
        <v>NasdaqCM:EGAN</v>
      </c>
      <c r="H25" s="675"/>
      <c r="I25" s="675"/>
      <c r="J25" s="8" t="str">
        <f t="shared" si="4"/>
        <v>NAME</v>
      </c>
      <c r="K25" s="8" t="s">
        <v>799</v>
      </c>
      <c r="L25" s="8" t="s">
        <v>800</v>
      </c>
      <c r="M25" s="8" t="s">
        <v>801</v>
      </c>
      <c r="N25" s="8" t="s">
        <v>802</v>
      </c>
      <c r="O25" s="675" t="s">
        <v>803</v>
      </c>
      <c r="P25" s="675" t="str">
        <f t="shared" si="5"/>
        <v>ID</v>
      </c>
      <c r="Q25" s="675" t="s">
        <v>804</v>
      </c>
      <c r="R25" s="675" t="s">
        <v>805</v>
      </c>
      <c r="S25" s="675" t="s">
        <v>806</v>
      </c>
      <c r="T25" s="675" t="s">
        <v>807</v>
      </c>
      <c r="U25" s="675" t="s">
        <v>808</v>
      </c>
      <c r="V25" s="8"/>
      <c r="W25" s="8"/>
      <c r="X25" s="8"/>
      <c r="Y25" s="8"/>
      <c r="Z25" s="8"/>
      <c r="AA25" s="8"/>
      <c r="AB25" s="8"/>
      <c r="AC25" s="8"/>
    </row>
    <row r="26" ht="12.75" customHeight="1" spans="1:29" x14ac:dyDescent="0.25">
      <c r="A26" s="8"/>
      <c r="B26" s="669" t="s">
        <v>809</v>
      </c>
      <c r="C26" s="534" t="str">
        <f t="shared" si="0"/>
        <v>NO</v>
      </c>
      <c r="D26" s="669">
        <v>1</v>
      </c>
      <c r="E26" s="8" t="str">
        <f t="shared" si="1"/>
        <v>Harmonic Inc.</v>
      </c>
      <c r="F26" s="8" t="str">
        <f t="shared" si="2"/>
        <v>IQ29282</v>
      </c>
      <c r="G26" s="682" t="str">
        <f t="shared" si="3"/>
        <v>NasdaqGS:HLIT</v>
      </c>
      <c r="H26" s="675"/>
      <c r="I26" s="675"/>
      <c r="J26" s="8" t="str">
        <f t="shared" si="4"/>
        <v>NAME</v>
      </c>
      <c r="K26" s="8" t="s">
        <v>810</v>
      </c>
      <c r="L26" s="8" t="s">
        <v>811</v>
      </c>
      <c r="M26" s="8" t="s">
        <v>812</v>
      </c>
      <c r="N26" s="8" t="s">
        <v>813</v>
      </c>
      <c r="O26" s="675" t="s">
        <v>814</v>
      </c>
      <c r="P26" s="675" t="str">
        <f t="shared" si="5"/>
        <v>ID</v>
      </c>
      <c r="Q26" s="675" t="s">
        <v>815</v>
      </c>
      <c r="R26" s="675" t="s">
        <v>816</v>
      </c>
      <c r="S26" s="675" t="s">
        <v>817</v>
      </c>
      <c r="T26" s="675" t="s">
        <v>818</v>
      </c>
      <c r="U26" s="675" t="s">
        <v>819</v>
      </c>
      <c r="V26" s="8"/>
      <c r="W26" s="8"/>
      <c r="X26" s="8"/>
      <c r="Y26" s="8"/>
      <c r="Z26" s="8"/>
      <c r="AA26" s="8"/>
      <c r="AB26" s="8"/>
      <c r="AC26" s="8"/>
    </row>
    <row r="27" ht="12.75" customHeight="1" spans="1:29" x14ac:dyDescent="0.25">
      <c r="A27" s="8"/>
      <c r="B27" s="669" t="s">
        <v>820</v>
      </c>
      <c r="C27" s="534" t="str">
        <f t="shared" si="0"/>
        <v>NO</v>
      </c>
      <c r="D27" s="669">
        <v>1</v>
      </c>
      <c r="E27" s="8" t="str">
        <f t="shared" si="1"/>
        <v>NetApp, Inc.</v>
      </c>
      <c r="F27" s="8" t="str">
        <f t="shared" si="2"/>
        <v>IQ32052</v>
      </c>
      <c r="G27" s="682" t="str">
        <f t="shared" si="3"/>
        <v>NasdaqGS:NTAP</v>
      </c>
      <c r="H27" s="675"/>
      <c r="I27" s="675"/>
      <c r="J27" s="8" t="str">
        <f t="shared" si="4"/>
        <v>NAME</v>
      </c>
      <c r="K27" s="8" t="s">
        <v>821</v>
      </c>
      <c r="L27" s="8" t="s">
        <v>822</v>
      </c>
      <c r="M27" s="8" t="s">
        <v>823</v>
      </c>
      <c r="N27" s="8" t="s">
        <v>824</v>
      </c>
      <c r="O27" s="675" t="s">
        <v>825</v>
      </c>
      <c r="P27" s="675" t="str">
        <f t="shared" si="5"/>
        <v>ID</v>
      </c>
      <c r="Q27" s="675" t="s">
        <v>826</v>
      </c>
      <c r="R27" s="675" t="s">
        <v>827</v>
      </c>
      <c r="S27" s="675" t="s">
        <v>828</v>
      </c>
      <c r="T27" s="675" t="s">
        <v>829</v>
      </c>
      <c r="U27" s="675" t="s">
        <v>830</v>
      </c>
      <c r="V27" s="8"/>
      <c r="W27" s="8"/>
      <c r="X27" s="8"/>
      <c r="Y27" s="8"/>
      <c r="Z27" s="8"/>
      <c r="AA27" s="8"/>
      <c r="AB27" s="8"/>
      <c r="AC27" s="8"/>
    </row>
    <row r="28" ht="12.75" customHeight="1" spans="1:29" x14ac:dyDescent="0.25">
      <c r="A28" s="8"/>
      <c r="B28" s="669" t="s">
        <v>831</v>
      </c>
      <c r="C28" s="534" t="str">
        <f t="shared" si="0"/>
        <v>NO</v>
      </c>
      <c r="D28" s="669">
        <v>1</v>
      </c>
      <c r="E28" s="8" t="str">
        <f t="shared" si="1"/>
        <v>Inseego Corp.</v>
      </c>
      <c r="F28" s="8" t="str">
        <f t="shared" si="2"/>
        <v>IQ32261</v>
      </c>
      <c r="G28" s="682" t="str">
        <f t="shared" si="3"/>
        <v>NasdaqGS:INSG</v>
      </c>
      <c r="H28" s="675"/>
      <c r="I28" s="675"/>
      <c r="J28" s="8" t="str">
        <f t="shared" si="4"/>
        <v>NAME</v>
      </c>
      <c r="K28" s="8" t="s">
        <v>832</v>
      </c>
      <c r="L28" s="8" t="s">
        <v>833</v>
      </c>
      <c r="M28" s="8" t="s">
        <v>834</v>
      </c>
      <c r="N28" s="8" t="s">
        <v>835</v>
      </c>
      <c r="O28" s="675" t="s">
        <v>836</v>
      </c>
      <c r="P28" s="675" t="str">
        <f t="shared" si="5"/>
        <v>ID</v>
      </c>
      <c r="Q28" s="675" t="s">
        <v>837</v>
      </c>
      <c r="R28" s="675" t="s">
        <v>838</v>
      </c>
      <c r="S28" s="675" t="s">
        <v>839</v>
      </c>
      <c r="T28" s="675" t="s">
        <v>840</v>
      </c>
      <c r="U28" s="675" t="s">
        <v>841</v>
      </c>
      <c r="V28" s="8"/>
      <c r="W28" s="8"/>
      <c r="X28" s="8"/>
      <c r="Y28" s="8"/>
      <c r="Z28" s="8"/>
      <c r="AA28" s="8"/>
      <c r="AB28" s="8"/>
      <c r="AC28" s="8"/>
    </row>
    <row r="29" ht="12.75" customHeight="1" spans="1:29" x14ac:dyDescent="0.25">
      <c r="A29" s="8"/>
      <c r="B29" s="669" t="s">
        <v>842</v>
      </c>
      <c r="C29" s="534" t="str">
        <f t="shared" si="0"/>
        <v>NO</v>
      </c>
      <c r="D29" s="669">
        <v>1</v>
      </c>
      <c r="E29" s="8" t="str">
        <f t="shared" si="1"/>
        <v>Intouch Insight Ltd.</v>
      </c>
      <c r="F29" s="8" t="str">
        <f t="shared" si="2"/>
        <v>IQ3160034</v>
      </c>
      <c r="G29" s="682" t="str">
        <f t="shared" si="3"/>
        <v>TSXV:INX</v>
      </c>
      <c r="H29" s="675"/>
      <c r="I29" s="675"/>
      <c r="J29" s="8" t="str">
        <f t="shared" si="4"/>
        <v>NAME</v>
      </c>
      <c r="K29" s="8" t="s">
        <v>843</v>
      </c>
      <c r="L29" s="8" t="s">
        <v>844</v>
      </c>
      <c r="M29" s="8"/>
      <c r="N29" s="8"/>
      <c r="O29" s="675"/>
      <c r="P29" s="675" t="str">
        <f t="shared" si="5"/>
        <v>ID</v>
      </c>
      <c r="Q29" s="675" t="s">
        <v>845</v>
      </c>
      <c r="R29" s="675" t="s">
        <v>846</v>
      </c>
      <c r="S29" s="675"/>
      <c r="T29" s="675"/>
      <c r="U29" s="675"/>
      <c r="V29" s="8"/>
      <c r="W29" s="8"/>
      <c r="X29" s="8"/>
      <c r="Y29" s="8"/>
      <c r="Z29" s="8"/>
      <c r="AA29" s="8"/>
      <c r="AB29" s="8"/>
      <c r="AC29" s="8"/>
    </row>
    <row r="30" ht="12.75" customHeight="1" spans="1:29" x14ac:dyDescent="0.25">
      <c r="A30" s="8"/>
      <c r="B30" s="669" t="s">
        <v>847</v>
      </c>
      <c r="C30" s="534" t="str">
        <f t="shared" si="0"/>
        <v>NO</v>
      </c>
      <c r="D30" s="669">
        <v>1</v>
      </c>
      <c r="E30" s="8" t="str">
        <f t="shared" si="1"/>
        <v>Energy Plug Technologies Corp.</v>
      </c>
      <c r="F30" s="8" t="str">
        <f t="shared" si="2"/>
        <v>IQ282167789</v>
      </c>
      <c r="G30" s="682" t="str">
        <f t="shared" si="3"/>
        <v>CNSX:PLUG</v>
      </c>
      <c r="H30" s="675"/>
      <c r="I30" s="675"/>
      <c r="J30" s="8" t="str">
        <f t="shared" si="4"/>
        <v>NAME</v>
      </c>
      <c r="K30" s="8" t="s">
        <v>848</v>
      </c>
      <c r="L30" s="8"/>
      <c r="M30" s="8"/>
      <c r="N30" s="8"/>
      <c r="O30" s="675"/>
      <c r="P30" s="675" t="str">
        <f t="shared" si="5"/>
        <v>ID</v>
      </c>
      <c r="Q30" s="675" t="s">
        <v>849</v>
      </c>
      <c r="R30" s="675"/>
      <c r="S30" s="675"/>
      <c r="T30" s="675"/>
      <c r="U30" s="675"/>
      <c r="V30" s="8"/>
      <c r="W30" s="8"/>
      <c r="X30" s="8"/>
      <c r="Y30" s="8"/>
      <c r="Z30" s="8"/>
      <c r="AA30" s="8"/>
      <c r="AB30" s="8"/>
      <c r="AC30" s="8"/>
    </row>
    <row r="31" ht="12.75" customHeight="1" spans="1:29" x14ac:dyDescent="0.25">
      <c r="A31" s="8"/>
      <c r="B31" s="8"/>
      <c r="C31" s="8"/>
      <c r="D31" s="8"/>
      <c r="E31" s="8"/>
      <c r="F31" s="8"/>
      <c r="G31" s="8"/>
      <c r="H31" s="675"/>
      <c r="I31" s="675"/>
      <c r="J31" s="675"/>
      <c r="K31" s="675"/>
      <c r="L31" s="675"/>
      <c r="M31" s="675"/>
      <c r="N31" s="675"/>
      <c r="O31" s="675"/>
      <c r="P31" s="675"/>
      <c r="Q31" s="675"/>
      <c r="R31" s="675"/>
      <c r="S31" s="675"/>
      <c r="T31" s="675"/>
      <c r="U31" s="8"/>
      <c r="V31" s="8"/>
      <c r="W31" s="8"/>
      <c r="X31" s="8"/>
      <c r="Y31" s="8"/>
      <c r="Z31" s="8"/>
      <c r="AA31" s="8"/>
      <c r="AB31" s="8"/>
      <c r="AC31" s="8"/>
    </row>
    <row r="32" ht="12.75" customHeight="1" spans="1:29" x14ac:dyDescent="0.25">
      <c r="A32" s="8"/>
      <c r="B32" s="8"/>
      <c r="C32" s="8"/>
      <c r="D32" s="8"/>
      <c r="E32" s="8"/>
      <c r="F32" s="8"/>
      <c r="G32" s="8"/>
      <c r="H32" s="675"/>
      <c r="I32" s="675"/>
      <c r="J32" s="675"/>
      <c r="K32" s="675"/>
      <c r="L32" s="675"/>
      <c r="M32" s="675"/>
      <c r="N32" s="675"/>
      <c r="O32" s="675"/>
      <c r="P32" s="675"/>
      <c r="Q32" s="675"/>
      <c r="R32" s="675"/>
      <c r="S32" s="675"/>
      <c r="T32" s="675"/>
      <c r="U32" s="8"/>
      <c r="V32" s="8"/>
      <c r="W32" s="8"/>
      <c r="X32" s="8"/>
      <c r="Y32" s="8"/>
      <c r="Z32" s="8"/>
      <c r="AA32" s="8"/>
      <c r="AB32" s="8"/>
      <c r="AC32" s="8"/>
    </row>
    <row r="33" ht="12.75" customHeight="1" spans="1:29" x14ac:dyDescent="0.25">
      <c r="A33" s="8"/>
      <c r="B33" s="8"/>
      <c r="C33" s="8"/>
      <c r="D33" s="8"/>
      <c r="E33" s="8"/>
      <c r="F33" s="8"/>
      <c r="G33" s="8"/>
      <c r="H33" s="675"/>
      <c r="I33" s="675"/>
      <c r="J33" s="675"/>
      <c r="K33" s="675"/>
      <c r="L33" s="675"/>
      <c r="M33" s="675"/>
      <c r="N33" s="675"/>
      <c r="O33" s="675"/>
      <c r="P33" s="675"/>
      <c r="Q33" s="675"/>
      <c r="R33" s="675"/>
      <c r="S33" s="675"/>
      <c r="T33" s="675"/>
      <c r="U33" s="8"/>
      <c r="V33" s="8"/>
      <c r="W33" s="8"/>
      <c r="X33" s="8"/>
      <c r="Y33" s="8"/>
      <c r="Z33" s="8"/>
      <c r="AA33" s="8"/>
      <c r="AB33" s="8"/>
      <c r="AC33" s="8"/>
    </row>
    <row r="34" ht="12.75" customHeight="1" spans="1:29" x14ac:dyDescent="0.25">
      <c r="A34" s="8"/>
      <c r="B34" s="8"/>
      <c r="C34" s="8"/>
      <c r="D34" s="8"/>
      <c r="E34" s="8"/>
      <c r="F34" s="8"/>
      <c r="G34" s="8"/>
      <c r="H34" s="675"/>
      <c r="I34" s="675"/>
      <c r="J34" s="675"/>
      <c r="K34" s="675"/>
      <c r="L34" s="675"/>
      <c r="M34" s="675"/>
      <c r="N34" s="675"/>
      <c r="O34" s="675"/>
      <c r="P34" s="675"/>
      <c r="Q34" s="675"/>
      <c r="R34" s="675"/>
      <c r="S34" s="675"/>
      <c r="T34" s="675"/>
      <c r="U34" s="8"/>
      <c r="V34" s="8"/>
      <c r="W34" s="8"/>
      <c r="X34" s="8"/>
      <c r="Y34" s="8"/>
      <c r="Z34" s="8"/>
      <c r="AA34" s="8"/>
      <c r="AB34" s="8"/>
      <c r="AC34" s="8"/>
    </row>
    <row r="35" ht="12.75" customHeight="1" spans="1:29" x14ac:dyDescent="0.25">
      <c r="A35" s="8"/>
      <c r="B35" s="8"/>
      <c r="C35" s="8"/>
      <c r="D35" s="8"/>
      <c r="E35" s="8"/>
      <c r="F35" s="8"/>
      <c r="G35" s="8"/>
      <c r="H35" s="675"/>
      <c r="I35" s="675"/>
      <c r="J35" s="675"/>
      <c r="K35" s="675"/>
      <c r="L35" s="675"/>
      <c r="M35" s="675"/>
      <c r="N35" s="675"/>
      <c r="O35" s="675"/>
      <c r="P35" s="675"/>
      <c r="Q35" s="675"/>
      <c r="R35" s="675"/>
      <c r="S35" s="675"/>
      <c r="T35" s="675"/>
      <c r="U35" s="8"/>
      <c r="V35" s="8"/>
      <c r="W35" s="8"/>
      <c r="X35" s="8"/>
      <c r="Y35" s="8"/>
      <c r="Z35" s="8"/>
      <c r="AA35" s="8"/>
      <c r="AB35" s="8"/>
      <c r="AC35" s="8"/>
    </row>
    <row r="36" ht="12.75" customHeight="1" spans="1:29" x14ac:dyDescent="0.25">
      <c r="A36" s="8"/>
      <c r="B36" s="8"/>
      <c r="C36" s="8"/>
      <c r="D36" s="8"/>
      <c r="E36" s="8"/>
      <c r="F36" s="8"/>
      <c r="G36" s="8"/>
      <c r="H36" s="675"/>
      <c r="I36" s="675"/>
      <c r="J36" s="675"/>
      <c r="K36" s="675"/>
      <c r="L36" s="675"/>
      <c r="M36" s="675"/>
      <c r="N36" s="675"/>
      <c r="O36" s="675"/>
      <c r="P36" s="675"/>
      <c r="Q36" s="675"/>
      <c r="R36" s="675"/>
      <c r="S36" s="675"/>
      <c r="T36" s="675"/>
      <c r="U36" s="8"/>
      <c r="V36" s="8"/>
      <c r="W36" s="8"/>
      <c r="X36" s="8"/>
      <c r="Y36" s="8"/>
      <c r="Z36" s="8"/>
      <c r="AA36" s="8"/>
      <c r="AB36" s="8"/>
      <c r="AC36" s="8"/>
    </row>
    <row r="37" ht="12.75" customHeight="1" spans="1:29" x14ac:dyDescent="0.25">
      <c r="A37" s="8"/>
      <c r="B37" s="8"/>
      <c r="C37" s="8"/>
      <c r="D37" s="8"/>
      <c r="E37" s="8"/>
      <c r="F37" s="8"/>
      <c r="G37" s="8"/>
      <c r="H37" s="675"/>
      <c r="I37" s="675"/>
      <c r="J37" s="675"/>
      <c r="K37" s="675"/>
      <c r="L37" s="675"/>
      <c r="M37" s="675"/>
      <c r="N37" s="675"/>
      <c r="O37" s="675"/>
      <c r="P37" s="675"/>
      <c r="Q37" s="675"/>
      <c r="R37" s="675"/>
      <c r="S37" s="675"/>
      <c r="T37" s="675"/>
      <c r="U37" s="8"/>
      <c r="V37" s="8"/>
      <c r="W37" s="8"/>
      <c r="X37" s="8"/>
      <c r="Y37" s="8"/>
      <c r="Z37" s="8"/>
      <c r="AA37" s="8"/>
      <c r="AB37" s="8"/>
      <c r="AC37" s="8"/>
    </row>
    <row r="38" ht="12.75" customHeight="1" spans="1:29" x14ac:dyDescent="0.25">
      <c r="A38" s="8"/>
      <c r="B38" s="8"/>
      <c r="C38" s="8"/>
      <c r="D38" s="8"/>
      <c r="E38" s="8"/>
      <c r="F38" s="8"/>
      <c r="G38" s="8"/>
      <c r="H38" s="675"/>
      <c r="I38" s="675"/>
      <c r="J38" s="675"/>
      <c r="K38" s="675"/>
      <c r="L38" s="675"/>
      <c r="M38" s="675"/>
      <c r="N38" s="675"/>
      <c r="O38" s="675"/>
      <c r="P38" s="675"/>
      <c r="Q38" s="675"/>
      <c r="R38" s="675"/>
      <c r="S38" s="675"/>
      <c r="T38" s="675"/>
      <c r="U38" s="8"/>
      <c r="V38" s="8"/>
      <c r="W38" s="8"/>
      <c r="X38" s="8"/>
      <c r="Y38" s="8"/>
      <c r="Z38" s="8"/>
      <c r="AA38" s="8"/>
      <c r="AB38" s="8"/>
      <c r="AC38" s="8"/>
    </row>
    <row r="39" ht="12.75" customHeight="1" spans="1:29" x14ac:dyDescent="0.25">
      <c r="A39" s="8"/>
      <c r="B39" s="8"/>
      <c r="C39" s="8"/>
      <c r="D39" s="8"/>
      <c r="E39" s="8"/>
      <c r="F39" s="8"/>
      <c r="G39" s="8"/>
      <c r="H39" s="675"/>
      <c r="I39" s="675"/>
      <c r="J39" s="675"/>
      <c r="K39" s="675"/>
      <c r="L39" s="675"/>
      <c r="M39" s="675"/>
      <c r="N39" s="675"/>
      <c r="O39" s="675"/>
      <c r="P39" s="675"/>
      <c r="Q39" s="675"/>
      <c r="R39" s="675"/>
      <c r="S39" s="675"/>
      <c r="T39" s="675"/>
      <c r="U39" s="8"/>
      <c r="V39" s="8"/>
      <c r="W39" s="8"/>
      <c r="X39" s="8"/>
      <c r="Y39" s="8"/>
      <c r="Z39" s="8"/>
      <c r="AA39" s="8"/>
      <c r="AB39" s="8"/>
      <c r="AC39" s="8"/>
    </row>
    <row r="40" ht="12.75" customHeight="1" spans="1:29" x14ac:dyDescent="0.25">
      <c r="A40" s="8"/>
      <c r="B40" s="8"/>
      <c r="C40" s="8"/>
      <c r="D40" s="8"/>
      <c r="E40" s="8"/>
      <c r="F40" s="8"/>
      <c r="G40" s="8"/>
      <c r="H40" s="675"/>
      <c r="I40" s="675"/>
      <c r="J40" s="675"/>
      <c r="K40" s="675"/>
      <c r="L40" s="675"/>
      <c r="M40" s="675"/>
      <c r="N40" s="675"/>
      <c r="O40" s="675"/>
      <c r="P40" s="675"/>
      <c r="Q40" s="675"/>
      <c r="R40" s="675"/>
      <c r="S40" s="675"/>
      <c r="T40" s="675"/>
      <c r="U40" s="8"/>
      <c r="V40" s="8"/>
      <c r="W40" s="8"/>
      <c r="X40" s="8"/>
      <c r="Y40" s="8"/>
      <c r="Z40" s="8"/>
      <c r="AA40" s="8"/>
      <c r="AB40" s="8"/>
      <c r="AC40" s="8"/>
    </row>
    <row r="41" ht="12.75" customHeight="1" spans="1:29" x14ac:dyDescent="0.25">
      <c r="A41" s="8"/>
      <c r="B41" s="8"/>
      <c r="C41" s="8"/>
      <c r="D41" s="8"/>
      <c r="E41" s="8"/>
      <c r="F41" s="8"/>
      <c r="G41" s="8"/>
      <c r="H41" s="675"/>
      <c r="I41" s="675"/>
      <c r="J41" s="675"/>
      <c r="K41" s="675"/>
      <c r="L41" s="675"/>
      <c r="M41" s="675"/>
      <c r="N41" s="675"/>
      <c r="O41" s="675"/>
      <c r="P41" s="675"/>
      <c r="Q41" s="675"/>
      <c r="R41" s="675"/>
      <c r="S41" s="675"/>
      <c r="T41" s="675"/>
      <c r="U41" s="8"/>
      <c r="V41" s="8"/>
      <c r="W41" s="8"/>
      <c r="X41" s="8"/>
      <c r="Y41" s="8"/>
      <c r="Z41" s="8"/>
      <c r="AA41" s="8"/>
      <c r="AB41" s="8"/>
      <c r="AC41" s="8"/>
    </row>
    <row r="42" ht="12.75" customHeight="1" spans="1:29" x14ac:dyDescent="0.25">
      <c r="A42" s="8"/>
      <c r="B42" s="8"/>
      <c r="C42" s="8"/>
      <c r="D42" s="8"/>
      <c r="E42" s="8"/>
      <c r="F42" s="8"/>
      <c r="G42" s="8"/>
      <c r="H42" s="675"/>
      <c r="I42" s="675"/>
      <c r="J42" s="675"/>
      <c r="K42" s="675"/>
      <c r="L42" s="675"/>
      <c r="M42" s="675"/>
      <c r="N42" s="675"/>
      <c r="O42" s="675"/>
      <c r="P42" s="675"/>
      <c r="Q42" s="675"/>
      <c r="R42" s="675"/>
      <c r="S42" s="675"/>
      <c r="T42" s="675"/>
      <c r="U42" s="8"/>
      <c r="V42" s="8"/>
      <c r="W42" s="8"/>
      <c r="X42" s="8"/>
      <c r="Y42" s="8"/>
      <c r="Z42" s="8"/>
      <c r="AA42" s="8"/>
      <c r="AB42" s="8"/>
      <c r="AC42" s="8"/>
    </row>
    <row r="43" ht="12.75" customHeight="1" spans="1:29" x14ac:dyDescent="0.25">
      <c r="A43" s="8"/>
      <c r="B43" s="8"/>
      <c r="C43" s="8"/>
      <c r="D43" s="8"/>
      <c r="E43" s="8"/>
      <c r="F43" s="8"/>
      <c r="G43" s="8"/>
      <c r="H43" s="675"/>
      <c r="I43" s="675"/>
      <c r="J43" s="675"/>
      <c r="K43" s="675"/>
      <c r="L43" s="675"/>
      <c r="M43" s="675"/>
      <c r="N43" s="675"/>
      <c r="O43" s="675"/>
      <c r="P43" s="675"/>
      <c r="Q43" s="675"/>
      <c r="R43" s="675"/>
      <c r="S43" s="675"/>
      <c r="T43" s="675"/>
      <c r="U43" s="8"/>
      <c r="V43" s="8"/>
      <c r="W43" s="8"/>
      <c r="X43" s="8"/>
      <c r="Y43" s="8"/>
      <c r="Z43" s="8"/>
      <c r="AA43" s="8"/>
      <c r="AB43" s="8"/>
      <c r="AC43" s="8"/>
    </row>
    <row r="44" ht="12.75" customHeight="1" spans="1:29" x14ac:dyDescent="0.25">
      <c r="A44" s="8"/>
      <c r="B44" s="8"/>
      <c r="C44" s="8"/>
      <c r="D44" s="8"/>
      <c r="E44" s="8"/>
      <c r="F44" s="8"/>
      <c r="G44" s="8"/>
      <c r="H44" s="675"/>
      <c r="I44" s="675"/>
      <c r="J44" s="675"/>
      <c r="K44" s="675"/>
      <c r="L44" s="675"/>
      <c r="M44" s="675"/>
      <c r="N44" s="675"/>
      <c r="O44" s="675"/>
      <c r="P44" s="675"/>
      <c r="Q44" s="675"/>
      <c r="R44" s="675"/>
      <c r="S44" s="675"/>
      <c r="T44" s="675"/>
      <c r="U44" s="8"/>
      <c r="V44" s="8"/>
      <c r="W44" s="8"/>
      <c r="X44" s="8"/>
      <c r="Y44" s="8"/>
      <c r="Z44" s="8"/>
      <c r="AA44" s="8"/>
      <c r="AB44" s="8"/>
      <c r="AC44" s="8"/>
    </row>
    <row r="45" ht="12.75" customHeight="1" spans="1:29" x14ac:dyDescent="0.25">
      <c r="A45" s="8"/>
      <c r="B45" s="8"/>
      <c r="C45" s="8"/>
      <c r="D45" s="8"/>
      <c r="E45" s="8"/>
      <c r="F45" s="8"/>
      <c r="G45" s="8"/>
      <c r="H45" s="675"/>
      <c r="I45" s="675"/>
      <c r="J45" s="675"/>
      <c r="K45" s="675"/>
      <c r="L45" s="675"/>
      <c r="M45" s="675"/>
      <c r="N45" s="675"/>
      <c r="O45" s="675"/>
      <c r="P45" s="675"/>
      <c r="Q45" s="675"/>
      <c r="R45" s="675"/>
      <c r="S45" s="675"/>
      <c r="T45" s="675"/>
      <c r="U45" s="8"/>
      <c r="V45" s="8"/>
      <c r="W45" s="8"/>
      <c r="X45" s="8"/>
      <c r="Y45" s="8"/>
      <c r="Z45" s="8"/>
      <c r="AA45" s="8"/>
      <c r="AB45" s="8"/>
      <c r="AC45" s="8"/>
    </row>
    <row r="46" ht="12.75" customHeight="1" spans="1:29" x14ac:dyDescent="0.25">
      <c r="A46" s="8"/>
      <c r="B46" s="8"/>
      <c r="C46" s="8"/>
      <c r="D46" s="8"/>
      <c r="E46" s="8"/>
      <c r="F46" s="8"/>
      <c r="G46" s="8"/>
      <c r="H46" s="675"/>
      <c r="I46" s="675"/>
      <c r="J46" s="675"/>
      <c r="K46" s="675"/>
      <c r="L46" s="675"/>
      <c r="M46" s="675"/>
      <c r="N46" s="675"/>
      <c r="O46" s="675"/>
      <c r="P46" s="675"/>
      <c r="Q46" s="675"/>
      <c r="R46" s="675"/>
      <c r="S46" s="675"/>
      <c r="T46" s="675"/>
      <c r="U46" s="8"/>
      <c r="V46" s="8"/>
      <c r="W46" s="8"/>
      <c r="X46" s="8"/>
      <c r="Y46" s="8"/>
      <c r="Z46" s="8"/>
      <c r="AA46" s="8"/>
      <c r="AB46" s="8"/>
      <c r="AC46" s="8"/>
    </row>
    <row r="47" ht="12.75" customHeight="1" spans="1:29" x14ac:dyDescent="0.25">
      <c r="A47" s="8"/>
      <c r="B47" s="8"/>
      <c r="C47" s="8"/>
      <c r="D47" s="8"/>
      <c r="E47" s="8"/>
      <c r="F47" s="8"/>
      <c r="G47" s="8"/>
      <c r="H47" s="675"/>
      <c r="I47" s="675"/>
      <c r="J47" s="675"/>
      <c r="K47" s="675"/>
      <c r="L47" s="675"/>
      <c r="M47" s="675"/>
      <c r="N47" s="675"/>
      <c r="O47" s="675"/>
      <c r="P47" s="675"/>
      <c r="Q47" s="675"/>
      <c r="R47" s="675"/>
      <c r="S47" s="675"/>
      <c r="T47" s="675"/>
      <c r="U47" s="8"/>
      <c r="V47" s="8"/>
      <c r="W47" s="8"/>
      <c r="X47" s="8"/>
      <c r="Y47" s="8"/>
      <c r="Z47" s="8"/>
      <c r="AA47" s="8"/>
      <c r="AB47" s="8"/>
      <c r="AC47" s="8"/>
    </row>
    <row r="48" ht="12.75" customHeight="1" spans="1:29" x14ac:dyDescent="0.25">
      <c r="A48" s="8"/>
      <c r="B48" s="8"/>
      <c r="C48" s="8"/>
      <c r="D48" s="8"/>
      <c r="E48" s="8"/>
      <c r="F48" s="8"/>
      <c r="G48" s="8"/>
      <c r="H48" s="675"/>
      <c r="I48" s="675"/>
      <c r="J48" s="675"/>
      <c r="K48" s="675"/>
      <c r="L48" s="675"/>
      <c r="M48" s="675"/>
      <c r="N48" s="675"/>
      <c r="O48" s="675"/>
      <c r="P48" s="675"/>
      <c r="Q48" s="675"/>
      <c r="R48" s="675"/>
      <c r="S48" s="675"/>
      <c r="T48" s="675"/>
      <c r="U48" s="8"/>
      <c r="V48" s="8"/>
      <c r="W48" s="8"/>
      <c r="X48" s="8"/>
      <c r="Y48" s="8"/>
      <c r="Z48" s="8"/>
      <c r="AA48" s="8"/>
      <c r="AB48" s="8"/>
      <c r="AC48" s="8"/>
    </row>
    <row r="49" ht="12.75" customHeight="1" spans="1:29" x14ac:dyDescent="0.25">
      <c r="A49" s="8"/>
      <c r="B49" s="8"/>
      <c r="C49" s="8"/>
      <c r="D49" s="8"/>
      <c r="E49" s="8"/>
      <c r="F49" s="8"/>
      <c r="G49" s="8"/>
      <c r="H49" s="675"/>
      <c r="I49" s="675"/>
      <c r="J49" s="675"/>
      <c r="K49" s="675"/>
      <c r="L49" s="675"/>
      <c r="M49" s="675"/>
      <c r="N49" s="675"/>
      <c r="O49" s="675"/>
      <c r="P49" s="675"/>
      <c r="Q49" s="675"/>
      <c r="R49" s="675"/>
      <c r="S49" s="675"/>
      <c r="T49" s="675"/>
      <c r="U49" s="8"/>
      <c r="V49" s="8"/>
      <c r="W49" s="8"/>
      <c r="X49" s="8"/>
      <c r="Y49" s="8"/>
      <c r="Z49" s="8"/>
      <c r="AA49" s="8"/>
      <c r="AB49" s="8"/>
      <c r="AC49" s="8"/>
    </row>
    <row r="50" ht="12.75" customHeight="1" spans="1:29" x14ac:dyDescent="0.25">
      <c r="A50" s="8"/>
      <c r="B50" s="8"/>
      <c r="C50" s="8"/>
      <c r="D50" s="8"/>
      <c r="E50" s="8"/>
      <c r="F50" s="8"/>
      <c r="G50" s="8"/>
      <c r="H50" s="675"/>
      <c r="I50" s="675"/>
      <c r="J50" s="675"/>
      <c r="K50" s="675"/>
      <c r="L50" s="675"/>
      <c r="M50" s="675"/>
      <c r="N50" s="675"/>
      <c r="O50" s="675"/>
      <c r="P50" s="675"/>
      <c r="Q50" s="675"/>
      <c r="R50" s="675"/>
      <c r="S50" s="675"/>
      <c r="T50" s="675"/>
      <c r="U50" s="8"/>
      <c r="V50" s="8"/>
      <c r="W50" s="8"/>
      <c r="X50" s="8"/>
      <c r="Y50" s="8"/>
      <c r="Z50" s="8"/>
      <c r="AA50" s="8"/>
      <c r="AB50" s="8"/>
      <c r="AC50" s="8"/>
    </row>
    <row r="51" ht="12.75" customHeight="1" spans="1:29" x14ac:dyDescent="0.25">
      <c r="A51" s="8"/>
      <c r="B51" s="8"/>
      <c r="C51" s="8"/>
      <c r="D51" s="8"/>
      <c r="E51" s="8"/>
      <c r="F51" s="8"/>
      <c r="G51" s="8"/>
      <c r="H51" s="675"/>
      <c r="I51" s="675"/>
      <c r="J51" s="675"/>
      <c r="K51" s="675"/>
      <c r="L51" s="675"/>
      <c r="M51" s="675"/>
      <c r="N51" s="675"/>
      <c r="O51" s="675"/>
      <c r="P51" s="675"/>
      <c r="Q51" s="675"/>
      <c r="R51" s="675"/>
      <c r="S51" s="675"/>
      <c r="T51" s="675"/>
      <c r="U51" s="8"/>
      <c r="V51" s="8"/>
      <c r="W51" s="8"/>
      <c r="X51" s="8"/>
      <c r="Y51" s="8"/>
      <c r="Z51" s="8"/>
      <c r="AA51" s="8"/>
      <c r="AB51" s="8"/>
      <c r="AC51" s="8"/>
    </row>
    <row r="52" ht="12.75" customHeight="1" spans="1:29" x14ac:dyDescent="0.25">
      <c r="A52" s="8"/>
      <c r="B52" s="8"/>
      <c r="C52" s="8"/>
      <c r="D52" s="8"/>
      <c r="E52" s="8"/>
      <c r="F52" s="8"/>
      <c r="G52" s="8"/>
      <c r="H52" s="675"/>
      <c r="I52" s="675"/>
      <c r="J52" s="675"/>
      <c r="K52" s="675"/>
      <c r="L52" s="675"/>
      <c r="M52" s="675"/>
      <c r="N52" s="675"/>
      <c r="O52" s="675"/>
      <c r="P52" s="675"/>
      <c r="Q52" s="675"/>
      <c r="R52" s="675"/>
      <c r="S52" s="675"/>
      <c r="T52" s="675"/>
      <c r="U52" s="8"/>
      <c r="V52" s="8"/>
      <c r="W52" s="8"/>
      <c r="X52" s="8"/>
      <c r="Y52" s="8"/>
      <c r="Z52" s="8"/>
      <c r="AA52" s="8"/>
      <c r="AB52" s="8"/>
      <c r="AC52" s="8"/>
    </row>
    <row r="53" ht="12.75" customHeight="1" spans="1:29" x14ac:dyDescent="0.25">
      <c r="A53" s="8"/>
      <c r="B53" s="8"/>
      <c r="C53" s="8"/>
      <c r="D53" s="8"/>
      <c r="E53" s="8"/>
      <c r="F53" s="8"/>
      <c r="G53" s="8"/>
      <c r="H53" s="675"/>
      <c r="I53" s="675"/>
      <c r="J53" s="675"/>
      <c r="K53" s="675"/>
      <c r="L53" s="675"/>
      <c r="M53" s="675"/>
      <c r="N53" s="675"/>
      <c r="O53" s="675"/>
      <c r="P53" s="675"/>
      <c r="Q53" s="675"/>
      <c r="R53" s="675"/>
      <c r="S53" s="675"/>
      <c r="T53" s="675"/>
      <c r="U53" s="8"/>
      <c r="V53" s="8"/>
      <c r="W53" s="8"/>
      <c r="X53" s="8"/>
      <c r="Y53" s="8"/>
      <c r="Z53" s="8"/>
      <c r="AA53" s="8"/>
      <c r="AB53" s="8"/>
      <c r="AC53" s="8"/>
    </row>
    <row r="54" ht="12.75" customHeight="1" spans="1:29" x14ac:dyDescent="0.25">
      <c r="A54" s="8"/>
      <c r="B54" s="8"/>
      <c r="C54" s="8"/>
      <c r="D54" s="8"/>
      <c r="E54" s="8"/>
      <c r="F54" s="8"/>
      <c r="G54" s="8"/>
      <c r="H54" s="675"/>
      <c r="I54" s="675"/>
      <c r="J54" s="675"/>
      <c r="K54" s="675"/>
      <c r="L54" s="675"/>
      <c r="M54" s="675"/>
      <c r="N54" s="675"/>
      <c r="O54" s="675"/>
      <c r="P54" s="675"/>
      <c r="Q54" s="675"/>
      <c r="R54" s="675"/>
      <c r="S54" s="675"/>
      <c r="T54" s="675"/>
      <c r="U54" s="8"/>
      <c r="V54" s="8"/>
      <c r="W54" s="8"/>
      <c r="X54" s="8"/>
      <c r="Y54" s="8"/>
      <c r="Z54" s="8"/>
      <c r="AA54" s="8"/>
      <c r="AB54" s="8"/>
      <c r="AC54" s="8"/>
    </row>
    <row r="55" ht="12.75" customHeight="1" spans="1:29" x14ac:dyDescent="0.25">
      <c r="A55" s="8"/>
      <c r="B55" s="8"/>
      <c r="C55" s="8"/>
      <c r="D55" s="8"/>
      <c r="E55" s="8"/>
      <c r="F55" s="8"/>
      <c r="G55" s="8"/>
      <c r="H55" s="675"/>
      <c r="I55" s="675"/>
      <c r="J55" s="675"/>
      <c r="K55" s="675"/>
      <c r="L55" s="675"/>
      <c r="M55" s="675"/>
      <c r="N55" s="675"/>
      <c r="O55" s="675"/>
      <c r="P55" s="675"/>
      <c r="Q55" s="675"/>
      <c r="R55" s="675"/>
      <c r="S55" s="675"/>
      <c r="T55" s="675"/>
      <c r="U55" s="8"/>
      <c r="V55" s="8"/>
      <c r="W55" s="8"/>
      <c r="X55" s="8"/>
      <c r="Y55" s="8"/>
      <c r="Z55" s="8"/>
      <c r="AA55" s="8"/>
      <c r="AB55" s="8"/>
      <c r="AC55" s="8"/>
    </row>
    <row r="56" ht="12.75" customHeight="1" spans="1:29" x14ac:dyDescent="0.25">
      <c r="A56" s="8"/>
      <c r="B56" s="8"/>
      <c r="C56" s="8"/>
      <c r="D56" s="8"/>
      <c r="E56" s="8"/>
      <c r="F56" s="8"/>
      <c r="G56" s="8"/>
      <c r="H56" s="675"/>
      <c r="I56" s="675"/>
      <c r="J56" s="675"/>
      <c r="K56" s="675"/>
      <c r="L56" s="675"/>
      <c r="M56" s="675"/>
      <c r="N56" s="675"/>
      <c r="O56" s="675"/>
      <c r="P56" s="675"/>
      <c r="Q56" s="675"/>
      <c r="R56" s="675"/>
      <c r="S56" s="675"/>
      <c r="T56" s="675"/>
      <c r="U56" s="8"/>
      <c r="V56" s="8"/>
      <c r="W56" s="8"/>
      <c r="X56" s="8"/>
      <c r="Y56" s="8"/>
      <c r="Z56" s="8"/>
      <c r="AA56" s="8"/>
      <c r="AB56" s="8"/>
      <c r="AC56" s="8"/>
    </row>
    <row r="57" ht="12.75" customHeight="1" spans="1:29" x14ac:dyDescent="0.25">
      <c r="A57" s="8"/>
      <c r="B57" s="8"/>
      <c r="C57" s="8"/>
      <c r="D57" s="8"/>
      <c r="E57" s="8"/>
      <c r="F57" s="8"/>
      <c r="G57" s="8"/>
      <c r="H57" s="675"/>
      <c r="I57" s="675"/>
      <c r="J57" s="675"/>
      <c r="K57" s="675"/>
      <c r="L57" s="675"/>
      <c r="M57" s="675"/>
      <c r="N57" s="675"/>
      <c r="O57" s="675"/>
      <c r="P57" s="675"/>
      <c r="Q57" s="675"/>
      <c r="R57" s="675"/>
      <c r="S57" s="675"/>
      <c r="T57" s="675"/>
      <c r="U57" s="8"/>
      <c r="V57" s="8"/>
      <c r="W57" s="8"/>
      <c r="X57" s="8"/>
      <c r="Y57" s="8"/>
      <c r="Z57" s="8"/>
      <c r="AA57" s="8"/>
      <c r="AB57" s="8"/>
      <c r="AC57" s="8"/>
    </row>
    <row r="58" ht="12.75" customHeight="1" spans="1:29" x14ac:dyDescent="0.25">
      <c r="A58" s="8"/>
      <c r="B58" s="8"/>
      <c r="C58" s="8"/>
      <c r="D58" s="8"/>
      <c r="E58" s="8"/>
      <c r="F58" s="8"/>
      <c r="G58" s="8"/>
      <c r="H58" s="675"/>
      <c r="I58" s="675"/>
      <c r="J58" s="675"/>
      <c r="K58" s="675"/>
      <c r="L58" s="675"/>
      <c r="M58" s="675"/>
      <c r="N58" s="675"/>
      <c r="O58" s="675"/>
      <c r="P58" s="675"/>
      <c r="Q58" s="675"/>
      <c r="R58" s="675"/>
      <c r="S58" s="675"/>
      <c r="T58" s="675"/>
      <c r="U58" s="8"/>
      <c r="V58" s="8"/>
      <c r="W58" s="8"/>
      <c r="X58" s="8"/>
      <c r="Y58" s="8"/>
      <c r="Z58" s="8"/>
      <c r="AA58" s="8"/>
      <c r="AB58" s="8"/>
      <c r="AC58" s="8"/>
    </row>
    <row r="59" ht="12.75" customHeight="1" spans="1:29" x14ac:dyDescent="0.25">
      <c r="A59" s="8"/>
      <c r="B59" s="8"/>
      <c r="C59" s="8"/>
      <c r="D59" s="8"/>
      <c r="E59" s="8"/>
      <c r="F59" s="8"/>
      <c r="G59" s="8"/>
      <c r="H59" s="675"/>
      <c r="I59" s="675"/>
      <c r="J59" s="675"/>
      <c r="K59" s="675"/>
      <c r="L59" s="675"/>
      <c r="M59" s="675"/>
      <c r="N59" s="675"/>
      <c r="O59" s="675"/>
      <c r="P59" s="675"/>
      <c r="Q59" s="675"/>
      <c r="R59" s="675"/>
      <c r="S59" s="675"/>
      <c r="T59" s="675"/>
      <c r="U59" s="8"/>
      <c r="V59" s="8"/>
      <c r="W59" s="8"/>
      <c r="X59" s="8"/>
      <c r="Y59" s="8"/>
      <c r="Z59" s="8"/>
      <c r="AA59" s="8"/>
      <c r="AB59" s="8"/>
      <c r="AC59" s="8"/>
    </row>
    <row r="60" ht="12.75" customHeight="1" spans="1:29" x14ac:dyDescent="0.25">
      <c r="A60" s="8"/>
      <c r="B60" s="8"/>
      <c r="C60" s="8"/>
      <c r="D60" s="8"/>
      <c r="E60" s="8"/>
      <c r="F60" s="8"/>
      <c r="G60" s="8"/>
      <c r="H60" s="675"/>
      <c r="I60" s="675"/>
      <c r="J60" s="675"/>
      <c r="K60" s="675"/>
      <c r="L60" s="675"/>
      <c r="M60" s="675"/>
      <c r="N60" s="675"/>
      <c r="O60" s="675"/>
      <c r="P60" s="675"/>
      <c r="Q60" s="675"/>
      <c r="R60" s="675"/>
      <c r="S60" s="675"/>
      <c r="T60" s="675"/>
      <c r="U60" s="8"/>
      <c r="V60" s="8"/>
      <c r="W60" s="8"/>
      <c r="X60" s="8"/>
      <c r="Y60" s="8"/>
      <c r="Z60" s="8"/>
      <c r="AA60" s="8"/>
      <c r="AB60" s="8"/>
      <c r="AC60" s="8"/>
    </row>
    <row r="61" ht="12.75" customHeight="1" spans="1:29" x14ac:dyDescent="0.25">
      <c r="A61" s="8"/>
      <c r="B61" s="8"/>
      <c r="C61" s="8"/>
      <c r="D61" s="8"/>
      <c r="E61" s="8"/>
      <c r="F61" s="8"/>
      <c r="G61" s="8"/>
      <c r="H61" s="675"/>
      <c r="I61" s="675"/>
      <c r="J61" s="675"/>
      <c r="K61" s="675"/>
      <c r="L61" s="675"/>
      <c r="M61" s="675"/>
      <c r="N61" s="675"/>
      <c r="O61" s="675"/>
      <c r="P61" s="675"/>
      <c r="Q61" s="675"/>
      <c r="R61" s="675"/>
      <c r="S61" s="675"/>
      <c r="T61" s="675"/>
      <c r="U61" s="8"/>
      <c r="V61" s="8"/>
      <c r="W61" s="8"/>
      <c r="X61" s="8"/>
      <c r="Y61" s="8"/>
      <c r="Z61" s="8"/>
      <c r="AA61" s="8"/>
      <c r="AB61" s="8"/>
      <c r="AC61" s="8"/>
    </row>
    <row r="62" ht="12.75" customHeight="1" spans="1:29" x14ac:dyDescent="0.25">
      <c r="A62" s="8"/>
      <c r="B62" s="8"/>
      <c r="C62" s="8"/>
      <c r="D62" s="8"/>
      <c r="E62" s="8"/>
      <c r="F62" s="8"/>
      <c r="G62" s="8"/>
      <c r="H62" s="675"/>
      <c r="I62" s="675"/>
      <c r="J62" s="675"/>
      <c r="K62" s="675"/>
      <c r="L62" s="675"/>
      <c r="M62" s="675"/>
      <c r="N62" s="675"/>
      <c r="O62" s="675"/>
      <c r="P62" s="675"/>
      <c r="Q62" s="675"/>
      <c r="R62" s="675"/>
      <c r="S62" s="675"/>
      <c r="T62" s="675"/>
      <c r="U62" s="8"/>
      <c r="V62" s="8"/>
      <c r="W62" s="8"/>
      <c r="X62" s="8"/>
      <c r="Y62" s="8"/>
      <c r="Z62" s="8"/>
      <c r="AA62" s="8"/>
      <c r="AB62" s="8"/>
      <c r="AC62" s="8"/>
    </row>
    <row r="63" ht="12.75" customHeight="1" spans="1:29" x14ac:dyDescent="0.25">
      <c r="A63" s="8"/>
      <c r="B63" s="8"/>
      <c r="C63" s="8"/>
      <c r="D63" s="8"/>
      <c r="E63" s="8"/>
      <c r="F63" s="8"/>
      <c r="G63" s="8"/>
      <c r="H63" s="675"/>
      <c r="I63" s="675"/>
      <c r="J63" s="675"/>
      <c r="K63" s="675"/>
      <c r="L63" s="675"/>
      <c r="M63" s="675"/>
      <c r="N63" s="675"/>
      <c r="O63" s="675"/>
      <c r="P63" s="675"/>
      <c r="Q63" s="675"/>
      <c r="R63" s="675"/>
      <c r="S63" s="675"/>
      <c r="T63" s="675"/>
      <c r="U63" s="8"/>
      <c r="V63" s="8"/>
      <c r="W63" s="8"/>
      <c r="X63" s="8"/>
      <c r="Y63" s="8"/>
      <c r="Z63" s="8"/>
      <c r="AA63" s="8"/>
      <c r="AB63" s="8"/>
      <c r="AC63" s="8"/>
    </row>
    <row r="64" ht="12.75" customHeight="1" spans="1:29" x14ac:dyDescent="0.25">
      <c r="A64" s="8"/>
      <c r="B64" s="8"/>
      <c r="C64" s="8"/>
      <c r="D64" s="8"/>
      <c r="E64" s="8"/>
      <c r="F64" s="8"/>
      <c r="G64" s="8"/>
      <c r="H64" s="675"/>
      <c r="I64" s="675"/>
      <c r="J64" s="675"/>
      <c r="K64" s="675"/>
      <c r="L64" s="675"/>
      <c r="M64" s="675"/>
      <c r="N64" s="675"/>
      <c r="O64" s="675"/>
      <c r="P64" s="675"/>
      <c r="Q64" s="675"/>
      <c r="R64" s="675"/>
      <c r="S64" s="675"/>
      <c r="T64" s="675"/>
      <c r="U64" s="8"/>
      <c r="V64" s="8"/>
      <c r="W64" s="8"/>
      <c r="X64" s="8"/>
      <c r="Y64" s="8"/>
      <c r="Z64" s="8"/>
      <c r="AA64" s="8"/>
      <c r="AB64" s="8"/>
      <c r="AC64" s="8"/>
    </row>
    <row r="65" ht="12.75" customHeight="1" spans="1:29" x14ac:dyDescent="0.25">
      <c r="A65" s="8"/>
      <c r="B65" s="8"/>
      <c r="C65" s="8"/>
      <c r="D65" s="8"/>
      <c r="E65" s="8"/>
      <c r="F65" s="8"/>
      <c r="G65" s="8"/>
      <c r="H65" s="675"/>
      <c r="I65" s="675"/>
      <c r="J65" s="675"/>
      <c r="K65" s="675"/>
      <c r="L65" s="675"/>
      <c r="M65" s="675"/>
      <c r="N65" s="675"/>
      <c r="O65" s="675"/>
      <c r="P65" s="675"/>
      <c r="Q65" s="675"/>
      <c r="R65" s="675"/>
      <c r="S65" s="675"/>
      <c r="T65" s="675"/>
      <c r="U65" s="8"/>
      <c r="V65" s="8"/>
      <c r="W65" s="8"/>
      <c r="X65" s="8"/>
      <c r="Y65" s="8"/>
      <c r="Z65" s="8"/>
      <c r="AA65" s="8"/>
      <c r="AB65" s="8"/>
      <c r="AC65" s="8"/>
    </row>
    <row r="66" ht="12.75" customHeight="1" spans="1:29" x14ac:dyDescent="0.25">
      <c r="A66" s="8"/>
      <c r="B66" s="8"/>
      <c r="C66" s="8"/>
      <c r="D66" s="8"/>
      <c r="E66" s="8"/>
      <c r="F66" s="8"/>
      <c r="G66" s="8"/>
      <c r="H66" s="675"/>
      <c r="I66" s="675"/>
      <c r="J66" s="675"/>
      <c r="K66" s="675"/>
      <c r="L66" s="675"/>
      <c r="M66" s="675"/>
      <c r="N66" s="675"/>
      <c r="O66" s="675"/>
      <c r="P66" s="675"/>
      <c r="Q66" s="675"/>
      <c r="R66" s="675"/>
      <c r="S66" s="675"/>
      <c r="T66" s="675"/>
      <c r="U66" s="8"/>
      <c r="V66" s="8"/>
      <c r="W66" s="8"/>
      <c r="X66" s="8"/>
      <c r="Y66" s="8"/>
      <c r="Z66" s="8"/>
      <c r="AA66" s="8"/>
      <c r="AB66" s="8"/>
      <c r="AC66" s="8"/>
    </row>
    <row r="67" ht="12.75" customHeight="1" spans="1:29" x14ac:dyDescent="0.25">
      <c r="A67" s="8"/>
      <c r="B67" s="8"/>
      <c r="C67" s="8"/>
      <c r="D67" s="8"/>
      <c r="E67" s="8"/>
      <c r="F67" s="8"/>
      <c r="G67" s="8"/>
      <c r="H67" s="675"/>
      <c r="I67" s="675"/>
      <c r="J67" s="675"/>
      <c r="K67" s="675"/>
      <c r="L67" s="675"/>
      <c r="M67" s="675"/>
      <c r="N67" s="675"/>
      <c r="O67" s="675"/>
      <c r="P67" s="675"/>
      <c r="Q67" s="675"/>
      <c r="R67" s="675"/>
      <c r="S67" s="675"/>
      <c r="T67" s="675"/>
      <c r="U67" s="8"/>
      <c r="V67" s="8"/>
      <c r="W67" s="8"/>
      <c r="X67" s="8"/>
      <c r="Y67" s="8"/>
      <c r="Z67" s="8"/>
      <c r="AA67" s="8"/>
      <c r="AB67" s="8"/>
      <c r="AC67" s="8"/>
    </row>
    <row r="68" ht="12.75" customHeight="1" spans="1:29" x14ac:dyDescent="0.25">
      <c r="A68" s="8"/>
      <c r="B68" s="8"/>
      <c r="C68" s="8"/>
      <c r="D68" s="8"/>
      <c r="E68" s="8"/>
      <c r="F68" s="8"/>
      <c r="G68" s="8"/>
      <c r="H68" s="675"/>
      <c r="I68" s="675"/>
      <c r="J68" s="675"/>
      <c r="K68" s="675"/>
      <c r="L68" s="675"/>
      <c r="M68" s="675"/>
      <c r="N68" s="675"/>
      <c r="O68" s="675"/>
      <c r="P68" s="675"/>
      <c r="Q68" s="675"/>
      <c r="R68" s="675"/>
      <c r="S68" s="675"/>
      <c r="T68" s="675"/>
      <c r="U68" s="8"/>
      <c r="V68" s="8"/>
      <c r="W68" s="8"/>
      <c r="X68" s="8"/>
      <c r="Y68" s="8"/>
      <c r="Z68" s="8"/>
      <c r="AA68" s="8"/>
      <c r="AB68" s="8"/>
      <c r="AC68" s="8"/>
    </row>
    <row r="69" ht="12.75" customHeight="1" spans="1:29" x14ac:dyDescent="0.25">
      <c r="A69" s="8"/>
      <c r="B69" s="8"/>
      <c r="C69" s="8"/>
      <c r="D69" s="8"/>
      <c r="E69" s="8"/>
      <c r="F69" s="8"/>
      <c r="G69" s="8"/>
      <c r="H69" s="675"/>
      <c r="I69" s="675"/>
      <c r="J69" s="675"/>
      <c r="K69" s="675"/>
      <c r="L69" s="675"/>
      <c r="M69" s="675"/>
      <c r="N69" s="675"/>
      <c r="O69" s="675"/>
      <c r="P69" s="675"/>
      <c r="Q69" s="675"/>
      <c r="R69" s="675"/>
      <c r="S69" s="675"/>
      <c r="T69" s="675"/>
      <c r="U69" s="8"/>
      <c r="V69" s="8"/>
      <c r="W69" s="8"/>
      <c r="X69" s="8"/>
      <c r="Y69" s="8"/>
      <c r="Z69" s="8"/>
      <c r="AA69" s="8"/>
      <c r="AB69" s="8"/>
      <c r="AC69" s="8"/>
    </row>
    <row r="70" ht="12.75" customHeight="1" spans="1:29" x14ac:dyDescent="0.25">
      <c r="A70" s="8"/>
      <c r="B70" s="8"/>
      <c r="C70" s="8"/>
      <c r="D70" s="8"/>
      <c r="E70" s="8"/>
      <c r="F70" s="8"/>
      <c r="G70" s="8"/>
      <c r="H70" s="675"/>
      <c r="I70" s="675"/>
      <c r="J70" s="675"/>
      <c r="K70" s="675"/>
      <c r="L70" s="675"/>
      <c r="M70" s="675"/>
      <c r="N70" s="675"/>
      <c r="O70" s="675"/>
      <c r="P70" s="675"/>
      <c r="Q70" s="675"/>
      <c r="R70" s="675"/>
      <c r="S70" s="675"/>
      <c r="T70" s="675"/>
      <c r="U70" s="8"/>
      <c r="V70" s="8"/>
      <c r="W70" s="8"/>
      <c r="X70" s="8"/>
      <c r="Y70" s="8"/>
      <c r="Z70" s="8"/>
      <c r="AA70" s="8"/>
      <c r="AB70" s="8"/>
      <c r="AC70" s="8"/>
    </row>
    <row r="71" ht="12.75" customHeight="1" spans="1:29" x14ac:dyDescent="0.25">
      <c r="A71" s="8"/>
      <c r="B71" s="8"/>
      <c r="C71" s="8"/>
      <c r="D71" s="8"/>
      <c r="E71" s="8"/>
      <c r="F71" s="8"/>
      <c r="G71" s="8"/>
      <c r="H71" s="675"/>
      <c r="I71" s="675"/>
      <c r="J71" s="675"/>
      <c r="K71" s="675"/>
      <c r="L71" s="675"/>
      <c r="M71" s="675"/>
      <c r="N71" s="675"/>
      <c r="O71" s="675"/>
      <c r="P71" s="675"/>
      <c r="Q71" s="675"/>
      <c r="R71" s="675"/>
      <c r="S71" s="675"/>
      <c r="T71" s="675"/>
      <c r="U71" s="8"/>
      <c r="V71" s="8"/>
      <c r="W71" s="8"/>
      <c r="X71" s="8"/>
      <c r="Y71" s="8"/>
      <c r="Z71" s="8"/>
      <c r="AA71" s="8"/>
      <c r="AB71" s="8"/>
      <c r="AC71" s="8"/>
    </row>
    <row r="72" ht="12.75" customHeight="1" spans="1:29" x14ac:dyDescent="0.25">
      <c r="A72" s="8"/>
      <c r="B72" s="8"/>
      <c r="C72" s="8"/>
      <c r="D72" s="8"/>
      <c r="E72" s="8"/>
      <c r="F72" s="8"/>
      <c r="G72" s="8"/>
      <c r="H72" s="675"/>
      <c r="I72" s="675"/>
      <c r="J72" s="675"/>
      <c r="K72" s="675"/>
      <c r="L72" s="675"/>
      <c r="M72" s="675"/>
      <c r="N72" s="675"/>
      <c r="O72" s="675"/>
      <c r="P72" s="675"/>
      <c r="Q72" s="675"/>
      <c r="R72" s="675"/>
      <c r="S72" s="675"/>
      <c r="T72" s="675"/>
      <c r="U72" s="8"/>
      <c r="V72" s="8"/>
      <c r="W72" s="8"/>
      <c r="X72" s="8"/>
      <c r="Y72" s="8"/>
      <c r="Z72" s="8"/>
      <c r="AA72" s="8"/>
      <c r="AB72" s="8"/>
      <c r="AC72" s="8"/>
    </row>
    <row r="73" ht="12.75" customHeight="1" spans="1:29" x14ac:dyDescent="0.25">
      <c r="A73" s="8"/>
      <c r="B73" s="8"/>
      <c r="C73" s="8"/>
      <c r="D73" s="8"/>
      <c r="E73" s="8"/>
      <c r="F73" s="8"/>
      <c r="G73" s="8"/>
      <c r="H73" s="675"/>
      <c r="I73" s="675"/>
      <c r="J73" s="675"/>
      <c r="K73" s="675"/>
      <c r="L73" s="675"/>
      <c r="M73" s="675"/>
      <c r="N73" s="675"/>
      <c r="O73" s="675"/>
      <c r="P73" s="675"/>
      <c r="Q73" s="675"/>
      <c r="R73" s="675"/>
      <c r="S73" s="675"/>
      <c r="T73" s="675"/>
      <c r="U73" s="8"/>
      <c r="V73" s="8"/>
      <c r="W73" s="8"/>
      <c r="X73" s="8"/>
      <c r="Y73" s="8"/>
      <c r="Z73" s="8"/>
      <c r="AA73" s="8"/>
      <c r="AB73" s="8"/>
      <c r="AC73" s="8"/>
    </row>
    <row r="74" ht="12.75" customHeight="1" spans="1:29" x14ac:dyDescent="0.25">
      <c r="A74" s="8"/>
      <c r="B74" s="8"/>
      <c r="C74" s="8"/>
      <c r="D74" s="8"/>
      <c r="E74" s="8"/>
      <c r="F74" s="8"/>
      <c r="G74" s="8"/>
      <c r="H74" s="675"/>
      <c r="I74" s="675"/>
      <c r="J74" s="675"/>
      <c r="K74" s="675"/>
      <c r="L74" s="675"/>
      <c r="M74" s="675"/>
      <c r="N74" s="675"/>
      <c r="O74" s="675"/>
      <c r="P74" s="675"/>
      <c r="Q74" s="675"/>
      <c r="R74" s="675"/>
      <c r="S74" s="675"/>
      <c r="T74" s="675"/>
      <c r="U74" s="8"/>
      <c r="V74" s="8"/>
      <c r="W74" s="8"/>
      <c r="X74" s="8"/>
      <c r="Y74" s="8"/>
      <c r="Z74" s="8"/>
      <c r="AA74" s="8"/>
      <c r="AB74" s="8"/>
      <c r="AC74" s="8"/>
    </row>
    <row r="75" ht="12.75" customHeight="1" spans="1:29" x14ac:dyDescent="0.25">
      <c r="A75" s="8"/>
      <c r="B75" s="8"/>
      <c r="C75" s="8"/>
      <c r="D75" s="8"/>
      <c r="E75" s="8"/>
      <c r="F75" s="8"/>
      <c r="G75" s="8"/>
      <c r="H75" s="675"/>
      <c r="I75" s="675"/>
      <c r="J75" s="675"/>
      <c r="K75" s="675"/>
      <c r="L75" s="675"/>
      <c r="M75" s="675"/>
      <c r="N75" s="675"/>
      <c r="O75" s="675"/>
      <c r="P75" s="675"/>
      <c r="Q75" s="675"/>
      <c r="R75" s="675"/>
      <c r="S75" s="675"/>
      <c r="T75" s="675"/>
      <c r="U75" s="8"/>
      <c r="V75" s="8"/>
      <c r="W75" s="8"/>
      <c r="X75" s="8"/>
      <c r="Y75" s="8"/>
      <c r="Z75" s="8"/>
      <c r="AA75" s="8"/>
      <c r="AB75" s="8"/>
      <c r="AC75" s="8"/>
    </row>
    <row r="76" ht="12.75" customHeight="1" spans="1:29" x14ac:dyDescent="0.25">
      <c r="A76" s="8"/>
      <c r="B76" s="8"/>
      <c r="C76" s="8"/>
      <c r="D76" s="8"/>
      <c r="E76" s="8"/>
      <c r="F76" s="8"/>
      <c r="G76" s="8"/>
      <c r="H76" s="675"/>
      <c r="I76" s="675"/>
      <c r="J76" s="675"/>
      <c r="K76" s="675"/>
      <c r="L76" s="675"/>
      <c r="M76" s="675"/>
      <c r="N76" s="675"/>
      <c r="O76" s="675"/>
      <c r="P76" s="675"/>
      <c r="Q76" s="675"/>
      <c r="R76" s="675"/>
      <c r="S76" s="675"/>
      <c r="T76" s="675"/>
      <c r="U76" s="8"/>
      <c r="V76" s="8"/>
      <c r="W76" s="8"/>
      <c r="X76" s="8"/>
      <c r="Y76" s="8"/>
      <c r="Z76" s="8"/>
      <c r="AA76" s="8"/>
      <c r="AB76" s="8"/>
      <c r="AC76" s="8"/>
    </row>
    <row r="77" ht="12.75" customHeight="1" spans="1:29" x14ac:dyDescent="0.25">
      <c r="A77" s="8"/>
      <c r="B77" s="8"/>
      <c r="C77" s="8"/>
      <c r="D77" s="8"/>
      <c r="E77" s="8"/>
      <c r="F77" s="8"/>
      <c r="G77" s="8"/>
      <c r="H77" s="675"/>
      <c r="I77" s="675"/>
      <c r="J77" s="675"/>
      <c r="K77" s="675"/>
      <c r="L77" s="675"/>
      <c r="M77" s="675"/>
      <c r="N77" s="675"/>
      <c r="O77" s="675"/>
      <c r="P77" s="675"/>
      <c r="Q77" s="675"/>
      <c r="R77" s="675"/>
      <c r="S77" s="675"/>
      <c r="T77" s="675"/>
      <c r="U77" s="8"/>
      <c r="V77" s="8"/>
      <c r="W77" s="8"/>
      <c r="X77" s="8"/>
      <c r="Y77" s="8"/>
      <c r="Z77" s="8"/>
      <c r="AA77" s="8"/>
      <c r="AB77" s="8"/>
      <c r="AC77" s="8"/>
    </row>
    <row r="78" ht="12.75" customHeight="1" spans="1:29" x14ac:dyDescent="0.25">
      <c r="A78" s="8"/>
      <c r="B78" s="8"/>
      <c r="C78" s="8"/>
      <c r="D78" s="8"/>
      <c r="E78" s="8"/>
      <c r="F78" s="8"/>
      <c r="G78" s="8"/>
      <c r="H78" s="675"/>
      <c r="I78" s="675"/>
      <c r="J78" s="675"/>
      <c r="K78" s="675"/>
      <c r="L78" s="675"/>
      <c r="M78" s="675"/>
      <c r="N78" s="675"/>
      <c r="O78" s="675"/>
      <c r="P78" s="675"/>
      <c r="Q78" s="675"/>
      <c r="R78" s="675"/>
      <c r="S78" s="675"/>
      <c r="T78" s="675"/>
      <c r="U78" s="8"/>
      <c r="V78" s="8"/>
      <c r="W78" s="8"/>
      <c r="X78" s="8"/>
      <c r="Y78" s="8"/>
      <c r="Z78" s="8"/>
      <c r="AA78" s="8"/>
      <c r="AB78" s="8"/>
      <c r="AC78" s="8"/>
    </row>
    <row r="79" ht="12.75" customHeight="1" spans="1:29" x14ac:dyDescent="0.25">
      <c r="A79" s="8"/>
      <c r="B79" s="8"/>
      <c r="C79" s="8"/>
      <c r="D79" s="8"/>
      <c r="E79" s="8"/>
      <c r="F79" s="8"/>
      <c r="G79" s="8"/>
      <c r="H79" s="675"/>
      <c r="I79" s="675"/>
      <c r="J79" s="675"/>
      <c r="K79" s="675"/>
      <c r="L79" s="675"/>
      <c r="M79" s="675"/>
      <c r="N79" s="675"/>
      <c r="O79" s="675"/>
      <c r="P79" s="675"/>
      <c r="Q79" s="675"/>
      <c r="R79" s="675"/>
      <c r="S79" s="675"/>
      <c r="T79" s="675"/>
      <c r="U79" s="8"/>
      <c r="V79" s="8"/>
      <c r="W79" s="8"/>
      <c r="X79" s="8"/>
      <c r="Y79" s="8"/>
      <c r="Z79" s="8"/>
      <c r="AA79" s="8"/>
      <c r="AB79" s="8"/>
      <c r="AC79" s="8"/>
    </row>
    <row r="80" ht="12.75" customHeight="1" spans="1:29" x14ac:dyDescent="0.25">
      <c r="A80" s="8"/>
      <c r="B80" s="8"/>
      <c r="C80" s="8"/>
      <c r="D80" s="8"/>
      <c r="E80" s="8"/>
      <c r="F80" s="8"/>
      <c r="G80" s="8"/>
      <c r="H80" s="675"/>
      <c r="I80" s="675"/>
      <c r="J80" s="675"/>
      <c r="K80" s="675"/>
      <c r="L80" s="675"/>
      <c r="M80" s="675"/>
      <c r="N80" s="675"/>
      <c r="O80" s="675"/>
      <c r="P80" s="675"/>
      <c r="Q80" s="675"/>
      <c r="R80" s="675"/>
      <c r="S80" s="675"/>
      <c r="T80" s="675"/>
      <c r="U80" s="8"/>
      <c r="V80" s="8"/>
      <c r="W80" s="8"/>
      <c r="X80" s="8"/>
      <c r="Y80" s="8"/>
      <c r="Z80" s="8"/>
      <c r="AA80" s="8"/>
      <c r="AB80" s="8"/>
      <c r="AC80" s="8"/>
    </row>
    <row r="81" ht="12.75" customHeight="1" spans="1:29" x14ac:dyDescent="0.25">
      <c r="A81" s="8"/>
      <c r="B81" s="8"/>
      <c r="C81" s="8"/>
      <c r="D81" s="8"/>
      <c r="E81" s="8"/>
      <c r="F81" s="8"/>
      <c r="G81" s="8"/>
      <c r="H81" s="675"/>
      <c r="I81" s="675"/>
      <c r="J81" s="675"/>
      <c r="K81" s="675"/>
      <c r="L81" s="675"/>
      <c r="M81" s="675"/>
      <c r="N81" s="675"/>
      <c r="O81" s="675"/>
      <c r="P81" s="675"/>
      <c r="Q81" s="675"/>
      <c r="R81" s="675"/>
      <c r="S81" s="675"/>
      <c r="T81" s="675"/>
      <c r="U81" s="8"/>
      <c r="V81" s="8"/>
      <c r="W81" s="8"/>
      <c r="X81" s="8"/>
      <c r="Y81" s="8"/>
      <c r="Z81" s="8"/>
      <c r="AA81" s="8"/>
      <c r="AB81" s="8"/>
      <c r="AC81" s="8"/>
    </row>
    <row r="82" ht="12.75" customHeight="1" spans="1:29" x14ac:dyDescent="0.25">
      <c r="A82" s="8"/>
      <c r="B82" s="8"/>
      <c r="C82" s="8"/>
      <c r="D82" s="8"/>
      <c r="E82" s="8"/>
      <c r="F82" s="8"/>
      <c r="G82" s="8"/>
      <c r="H82" s="675"/>
      <c r="I82" s="675"/>
      <c r="J82" s="675"/>
      <c r="K82" s="675"/>
      <c r="L82" s="675"/>
      <c r="M82" s="675"/>
      <c r="N82" s="675"/>
      <c r="O82" s="675"/>
      <c r="P82" s="675"/>
      <c r="Q82" s="675"/>
      <c r="R82" s="675"/>
      <c r="S82" s="675"/>
      <c r="T82" s="675"/>
      <c r="U82" s="8"/>
      <c r="V82" s="8"/>
      <c r="W82" s="8"/>
      <c r="X82" s="8"/>
      <c r="Y82" s="8"/>
      <c r="Z82" s="8"/>
      <c r="AA82" s="8"/>
      <c r="AB82" s="8"/>
      <c r="AC82" s="8"/>
    </row>
    <row r="83" ht="12.75" customHeight="1" spans="1:29" x14ac:dyDescent="0.25">
      <c r="A83" s="8"/>
      <c r="B83" s="8"/>
      <c r="C83" s="8"/>
      <c r="D83" s="8"/>
      <c r="E83" s="8"/>
      <c r="F83" s="8"/>
      <c r="G83" s="8"/>
      <c r="H83" s="675"/>
      <c r="I83" s="675"/>
      <c r="J83" s="675"/>
      <c r="K83" s="675"/>
      <c r="L83" s="675"/>
      <c r="M83" s="675"/>
      <c r="N83" s="675"/>
      <c r="O83" s="675"/>
      <c r="P83" s="675"/>
      <c r="Q83" s="675"/>
      <c r="R83" s="675"/>
      <c r="S83" s="675"/>
      <c r="T83" s="675"/>
      <c r="U83" s="8"/>
      <c r="V83" s="8"/>
      <c r="W83" s="8"/>
      <c r="X83" s="8"/>
      <c r="Y83" s="8"/>
      <c r="Z83" s="8"/>
      <c r="AA83" s="8"/>
      <c r="AB83" s="8"/>
      <c r="AC83" s="8"/>
    </row>
    <row r="84" ht="12.75" customHeight="1" spans="1:29" x14ac:dyDescent="0.25">
      <c r="A84" s="8"/>
      <c r="B84" s="8"/>
      <c r="C84" s="8"/>
      <c r="D84" s="8"/>
      <c r="E84" s="8"/>
      <c r="F84" s="8"/>
      <c r="G84" s="8"/>
      <c r="H84" s="675"/>
      <c r="I84" s="675"/>
      <c r="J84" s="675"/>
      <c r="K84" s="675"/>
      <c r="L84" s="675"/>
      <c r="M84" s="675"/>
      <c r="N84" s="675"/>
      <c r="O84" s="675"/>
      <c r="P84" s="675"/>
      <c r="Q84" s="675"/>
      <c r="R84" s="675"/>
      <c r="S84" s="675"/>
      <c r="T84" s="675"/>
      <c r="U84" s="8"/>
      <c r="V84" s="8"/>
      <c r="W84" s="8"/>
      <c r="X84" s="8"/>
      <c r="Y84" s="8"/>
      <c r="Z84" s="8"/>
      <c r="AA84" s="8"/>
      <c r="AB84" s="8"/>
      <c r="AC84" s="8"/>
    </row>
    <row r="85" ht="12.75" customHeight="1" spans="1:29" x14ac:dyDescent="0.25">
      <c r="A85" s="8"/>
      <c r="B85" s="8"/>
      <c r="C85" s="8"/>
      <c r="D85" s="8"/>
      <c r="E85" s="8"/>
      <c r="F85" s="8"/>
      <c r="G85" s="8"/>
      <c r="H85" s="675"/>
      <c r="I85" s="675"/>
      <c r="J85" s="675"/>
      <c r="K85" s="675"/>
      <c r="L85" s="675"/>
      <c r="M85" s="675"/>
      <c r="N85" s="675"/>
      <c r="O85" s="675"/>
      <c r="P85" s="675"/>
      <c r="Q85" s="675"/>
      <c r="R85" s="675"/>
      <c r="S85" s="675"/>
      <c r="T85" s="675"/>
      <c r="U85" s="8"/>
      <c r="V85" s="8"/>
      <c r="W85" s="8"/>
      <c r="X85" s="8"/>
      <c r="Y85" s="8"/>
      <c r="Z85" s="8"/>
      <c r="AA85" s="8"/>
      <c r="AB85" s="8"/>
      <c r="AC85" s="8"/>
    </row>
    <row r="86" ht="12.75" customHeight="1" spans="1:29" x14ac:dyDescent="0.25">
      <c r="A86" s="8"/>
      <c r="B86" s="8"/>
      <c r="C86" s="8"/>
      <c r="D86" s="8"/>
      <c r="E86" s="8"/>
      <c r="F86" s="8"/>
      <c r="G86" s="8"/>
      <c r="H86" s="675"/>
      <c r="I86" s="675"/>
      <c r="J86" s="675"/>
      <c r="K86" s="675"/>
      <c r="L86" s="675"/>
      <c r="M86" s="675"/>
      <c r="N86" s="675"/>
      <c r="O86" s="675"/>
      <c r="P86" s="675"/>
      <c r="Q86" s="675"/>
      <c r="R86" s="675"/>
      <c r="S86" s="675"/>
      <c r="T86" s="675"/>
      <c r="U86" s="8"/>
      <c r="V86" s="8"/>
      <c r="W86" s="8"/>
      <c r="X86" s="8"/>
      <c r="Y86" s="8"/>
      <c r="Z86" s="8"/>
      <c r="AA86" s="8"/>
      <c r="AB86" s="8"/>
      <c r="AC86" s="8"/>
    </row>
    <row r="87" ht="12.75" customHeight="1" spans="1:29" x14ac:dyDescent="0.25">
      <c r="A87" s="8"/>
      <c r="B87" s="8"/>
      <c r="C87" s="8"/>
      <c r="D87" s="8"/>
      <c r="E87" s="8"/>
      <c r="F87" s="8"/>
      <c r="G87" s="8"/>
      <c r="H87" s="675"/>
      <c r="I87" s="675"/>
      <c r="J87" s="675"/>
      <c r="K87" s="675"/>
      <c r="L87" s="675"/>
      <c r="M87" s="675"/>
      <c r="N87" s="675"/>
      <c r="O87" s="675"/>
      <c r="P87" s="675"/>
      <c r="Q87" s="675"/>
      <c r="R87" s="675"/>
      <c r="S87" s="675"/>
      <c r="T87" s="675"/>
      <c r="U87" s="8"/>
      <c r="V87" s="8"/>
      <c r="W87" s="8"/>
      <c r="X87" s="8"/>
      <c r="Y87" s="8"/>
      <c r="Z87" s="8"/>
      <c r="AA87" s="8"/>
      <c r="AB87" s="8"/>
      <c r="AC87" s="8"/>
    </row>
    <row r="88" ht="12.75" customHeight="1" spans="1:29" x14ac:dyDescent="0.25">
      <c r="A88" s="8"/>
      <c r="B88" s="8"/>
      <c r="C88" s="8"/>
      <c r="D88" s="8"/>
      <c r="E88" s="8"/>
      <c r="F88" s="8"/>
      <c r="G88" s="8"/>
      <c r="H88" s="675"/>
      <c r="I88" s="675"/>
      <c r="J88" s="675"/>
      <c r="K88" s="675"/>
      <c r="L88" s="675"/>
      <c r="M88" s="675"/>
      <c r="N88" s="675"/>
      <c r="O88" s="675"/>
      <c r="P88" s="675"/>
      <c r="Q88" s="675"/>
      <c r="R88" s="675"/>
      <c r="S88" s="675"/>
      <c r="T88" s="675"/>
      <c r="U88" s="8"/>
      <c r="V88" s="8"/>
      <c r="W88" s="8"/>
      <c r="X88" s="8"/>
      <c r="Y88" s="8"/>
      <c r="Z88" s="8"/>
      <c r="AA88" s="8"/>
      <c r="AB88" s="8"/>
      <c r="AC88" s="8"/>
    </row>
    <row r="89" ht="12.75" customHeight="1" spans="1:29" x14ac:dyDescent="0.25">
      <c r="A89" s="8"/>
      <c r="B89" s="8"/>
      <c r="C89" s="8"/>
      <c r="D89" s="8"/>
      <c r="E89" s="8"/>
      <c r="F89" s="8"/>
      <c r="G89" s="8"/>
      <c r="H89" s="675"/>
      <c r="I89" s="675"/>
      <c r="J89" s="675"/>
      <c r="K89" s="675"/>
      <c r="L89" s="675"/>
      <c r="M89" s="675"/>
      <c r="N89" s="675"/>
      <c r="O89" s="675"/>
      <c r="P89" s="675"/>
      <c r="Q89" s="675"/>
      <c r="R89" s="675"/>
      <c r="S89" s="675"/>
      <c r="T89" s="675"/>
      <c r="U89" s="8"/>
      <c r="V89" s="8"/>
      <c r="W89" s="8"/>
      <c r="X89" s="8"/>
      <c r="Y89" s="8"/>
      <c r="Z89" s="8"/>
      <c r="AA89" s="8"/>
      <c r="AB89" s="8"/>
      <c r="AC89" s="8"/>
    </row>
    <row r="90" ht="12.75" customHeight="1" spans="1:29" x14ac:dyDescent="0.25">
      <c r="A90" s="8"/>
      <c r="B90" s="8"/>
      <c r="C90" s="8"/>
      <c r="D90" s="8"/>
      <c r="E90" s="8"/>
      <c r="F90" s="8"/>
      <c r="G90" s="8"/>
      <c r="H90" s="675"/>
      <c r="I90" s="675"/>
      <c r="J90" s="675"/>
      <c r="K90" s="675"/>
      <c r="L90" s="675"/>
      <c r="M90" s="675"/>
      <c r="N90" s="675"/>
      <c r="O90" s="675"/>
      <c r="P90" s="675"/>
      <c r="Q90" s="675"/>
      <c r="R90" s="675"/>
      <c r="S90" s="675"/>
      <c r="T90" s="675"/>
      <c r="U90" s="8"/>
      <c r="V90" s="8"/>
      <c r="W90" s="8"/>
      <c r="X90" s="8"/>
      <c r="Y90" s="8"/>
      <c r="Z90" s="8"/>
      <c r="AA90" s="8"/>
      <c r="AB90" s="8"/>
      <c r="AC90" s="8"/>
    </row>
    <row r="91" ht="12.75" customHeight="1" spans="1:29" x14ac:dyDescent="0.25">
      <c r="A91" s="8"/>
      <c r="B91" s="8"/>
      <c r="C91" s="8"/>
      <c r="D91" s="8"/>
      <c r="E91" s="8"/>
      <c r="F91" s="8"/>
      <c r="G91" s="8"/>
      <c r="H91" s="675"/>
      <c r="I91" s="675"/>
      <c r="J91" s="675"/>
      <c r="K91" s="675"/>
      <c r="L91" s="675"/>
      <c r="M91" s="675"/>
      <c r="N91" s="675"/>
      <c r="O91" s="675"/>
      <c r="P91" s="675"/>
      <c r="Q91" s="675"/>
      <c r="R91" s="675"/>
      <c r="S91" s="675"/>
      <c r="T91" s="675"/>
      <c r="U91" s="8"/>
      <c r="V91" s="8"/>
      <c r="W91" s="8"/>
      <c r="X91" s="8"/>
      <c r="Y91" s="8"/>
      <c r="Z91" s="8"/>
      <c r="AA91" s="8"/>
      <c r="AB91" s="8"/>
      <c r="AC91" s="8"/>
    </row>
    <row r="92" ht="12.75" customHeight="1" spans="1:29" x14ac:dyDescent="0.25">
      <c r="A92" s="8"/>
      <c r="B92" s="8"/>
      <c r="C92" s="8"/>
      <c r="D92" s="8"/>
      <c r="E92" s="8"/>
      <c r="F92" s="8"/>
      <c r="G92" s="8"/>
      <c r="H92" s="675"/>
      <c r="I92" s="675"/>
      <c r="J92" s="675"/>
      <c r="K92" s="675"/>
      <c r="L92" s="675"/>
      <c r="M92" s="675"/>
      <c r="N92" s="675"/>
      <c r="O92" s="675"/>
      <c r="P92" s="675"/>
      <c r="Q92" s="675"/>
      <c r="R92" s="675"/>
      <c r="S92" s="675"/>
      <c r="T92" s="675"/>
      <c r="U92" s="8"/>
      <c r="V92" s="8"/>
      <c r="W92" s="8"/>
      <c r="X92" s="8"/>
      <c r="Y92" s="8"/>
      <c r="Z92" s="8"/>
      <c r="AA92" s="8"/>
      <c r="AB92" s="8"/>
      <c r="AC92" s="8"/>
    </row>
    <row r="93" ht="12.75" customHeight="1" spans="1:29" x14ac:dyDescent="0.25">
      <c r="A93" s="8"/>
      <c r="B93" s="8"/>
      <c r="C93" s="8"/>
      <c r="D93" s="8"/>
      <c r="E93" s="8"/>
      <c r="F93" s="8"/>
      <c r="G93" s="8"/>
      <c r="H93" s="675"/>
      <c r="I93" s="675"/>
      <c r="J93" s="675"/>
      <c r="K93" s="675"/>
      <c r="L93" s="675"/>
      <c r="M93" s="675"/>
      <c r="N93" s="675"/>
      <c r="O93" s="675"/>
      <c r="P93" s="675"/>
      <c r="Q93" s="675"/>
      <c r="R93" s="675"/>
      <c r="S93" s="675"/>
      <c r="T93" s="675"/>
      <c r="U93" s="8"/>
      <c r="V93" s="8"/>
      <c r="W93" s="8"/>
      <c r="X93" s="8"/>
      <c r="Y93" s="8"/>
      <c r="Z93" s="8"/>
      <c r="AA93" s="8"/>
      <c r="AB93" s="8"/>
      <c r="AC93" s="8"/>
    </row>
    <row r="94" ht="12.75" customHeight="1" spans="1:29" x14ac:dyDescent="0.25">
      <c r="A94" s="8"/>
      <c r="B94" s="8"/>
      <c r="C94" s="8"/>
      <c r="D94" s="8"/>
      <c r="E94" s="8"/>
      <c r="F94" s="8"/>
      <c r="G94" s="8"/>
      <c r="H94" s="675"/>
      <c r="I94" s="675"/>
      <c r="J94" s="675"/>
      <c r="K94" s="675"/>
      <c r="L94" s="675"/>
      <c r="M94" s="675"/>
      <c r="N94" s="675"/>
      <c r="O94" s="675"/>
      <c r="P94" s="675"/>
      <c r="Q94" s="675"/>
      <c r="R94" s="675"/>
      <c r="S94" s="675"/>
      <c r="T94" s="675"/>
      <c r="U94" s="8"/>
      <c r="V94" s="8"/>
      <c r="W94" s="8"/>
      <c r="X94" s="8"/>
      <c r="Y94" s="8"/>
      <c r="Z94" s="8"/>
      <c r="AA94" s="8"/>
      <c r="AB94" s="8"/>
      <c r="AC94" s="8"/>
    </row>
    <row r="95" ht="12.75" customHeight="1" spans="1:29" x14ac:dyDescent="0.25">
      <c r="A95" s="8"/>
      <c r="B95" s="8"/>
      <c r="C95" s="8"/>
      <c r="D95" s="8"/>
      <c r="E95" s="8"/>
      <c r="F95" s="8"/>
      <c r="G95" s="8"/>
      <c r="H95" s="675"/>
      <c r="I95" s="675"/>
      <c r="J95" s="675"/>
      <c r="K95" s="675"/>
      <c r="L95" s="675"/>
      <c r="M95" s="675"/>
      <c r="N95" s="675"/>
      <c r="O95" s="675"/>
      <c r="P95" s="675"/>
      <c r="Q95" s="675"/>
      <c r="R95" s="675"/>
      <c r="S95" s="675"/>
      <c r="T95" s="675"/>
      <c r="U95" s="8"/>
      <c r="V95" s="8"/>
      <c r="W95" s="8"/>
      <c r="X95" s="8"/>
      <c r="Y95" s="8"/>
      <c r="Z95" s="8"/>
      <c r="AA95" s="8"/>
      <c r="AB95" s="8"/>
      <c r="AC95" s="8"/>
    </row>
    <row r="96" ht="12.75" customHeight="1" spans="1:29" x14ac:dyDescent="0.25">
      <c r="A96" s="8"/>
      <c r="B96" s="8"/>
      <c r="C96" s="8"/>
      <c r="D96" s="8"/>
      <c r="E96" s="8"/>
      <c r="F96" s="8"/>
      <c r="G96" s="8"/>
      <c r="H96" s="675"/>
      <c r="I96" s="675"/>
      <c r="J96" s="675"/>
      <c r="K96" s="675"/>
      <c r="L96" s="675"/>
      <c r="M96" s="675"/>
      <c r="N96" s="675"/>
      <c r="O96" s="675"/>
      <c r="P96" s="675"/>
      <c r="Q96" s="675"/>
      <c r="R96" s="675"/>
      <c r="S96" s="675"/>
      <c r="T96" s="675"/>
      <c r="U96" s="8"/>
      <c r="V96" s="8"/>
      <c r="W96" s="8"/>
      <c r="X96" s="8"/>
      <c r="Y96" s="8"/>
      <c r="Z96" s="8"/>
      <c r="AA96" s="8"/>
      <c r="AB96" s="8"/>
      <c r="AC96" s="8"/>
    </row>
    <row r="97" ht="12.75" customHeight="1" spans="1:29" x14ac:dyDescent="0.25">
      <c r="A97" s="8"/>
      <c r="B97" s="8"/>
      <c r="C97" s="8"/>
      <c r="D97" s="8"/>
      <c r="E97" s="8"/>
      <c r="F97" s="8"/>
      <c r="G97" s="8"/>
      <c r="H97" s="675"/>
      <c r="I97" s="675"/>
      <c r="J97" s="675"/>
      <c r="K97" s="675"/>
      <c r="L97" s="675"/>
      <c r="M97" s="675"/>
      <c r="N97" s="675"/>
      <c r="O97" s="675"/>
      <c r="P97" s="675"/>
      <c r="Q97" s="675"/>
      <c r="R97" s="675"/>
      <c r="S97" s="675"/>
      <c r="T97" s="675"/>
      <c r="U97" s="8"/>
      <c r="V97" s="8"/>
      <c r="W97" s="8"/>
      <c r="X97" s="8"/>
      <c r="Y97" s="8"/>
      <c r="Z97" s="8"/>
      <c r="AA97" s="8"/>
      <c r="AB97" s="8"/>
      <c r="AC97" s="8"/>
    </row>
    <row r="98" ht="12.75" customHeight="1" spans="1:29" x14ac:dyDescent="0.25">
      <c r="A98" s="8"/>
      <c r="B98" s="8"/>
      <c r="C98" s="8"/>
      <c r="D98" s="8"/>
      <c r="E98" s="8"/>
      <c r="F98" s="8"/>
      <c r="G98" s="8"/>
      <c r="H98" s="675"/>
      <c r="I98" s="675"/>
      <c r="J98" s="675"/>
      <c r="K98" s="675"/>
      <c r="L98" s="675"/>
      <c r="M98" s="675"/>
      <c r="N98" s="675"/>
      <c r="O98" s="675"/>
      <c r="P98" s="675"/>
      <c r="Q98" s="675"/>
      <c r="R98" s="675"/>
      <c r="S98" s="675"/>
      <c r="T98" s="675"/>
      <c r="U98" s="8"/>
      <c r="V98" s="8"/>
      <c r="W98" s="8"/>
      <c r="X98" s="8"/>
      <c r="Y98" s="8"/>
      <c r="Z98" s="8"/>
      <c r="AA98" s="8"/>
      <c r="AB98" s="8"/>
      <c r="AC98" s="8"/>
    </row>
    <row r="99" ht="12.75" customHeight="1" spans="1:29" x14ac:dyDescent="0.25">
      <c r="A99" s="8"/>
      <c r="B99" s="8"/>
      <c r="C99" s="8"/>
      <c r="D99" s="8"/>
      <c r="E99" s="8"/>
      <c r="F99" s="8"/>
      <c r="G99" s="8"/>
      <c r="H99" s="675"/>
      <c r="I99" s="675"/>
      <c r="J99" s="675"/>
      <c r="K99" s="675"/>
      <c r="L99" s="675"/>
      <c r="M99" s="675"/>
      <c r="N99" s="675"/>
      <c r="O99" s="675"/>
      <c r="P99" s="675"/>
      <c r="Q99" s="675"/>
      <c r="R99" s="675"/>
      <c r="S99" s="675"/>
      <c r="T99" s="675"/>
      <c r="U99" s="8"/>
      <c r="V99" s="8"/>
      <c r="W99" s="8"/>
      <c r="X99" s="8"/>
      <c r="Y99" s="8"/>
      <c r="Z99" s="8"/>
      <c r="AA99" s="8"/>
      <c r="AB99" s="8"/>
      <c r="AC99" s="8"/>
    </row>
    <row r="100" ht="12.75" customHeight="1" spans="1:29" x14ac:dyDescent="0.25">
      <c r="A100" s="8"/>
      <c r="B100" s="8"/>
      <c r="C100" s="8"/>
      <c r="D100" s="8"/>
      <c r="E100" s="8"/>
      <c r="F100" s="8"/>
      <c r="G100" s="8"/>
      <c r="H100" s="675"/>
      <c r="I100" s="675"/>
      <c r="J100" s="675"/>
      <c r="K100" s="675"/>
      <c r="L100" s="675"/>
      <c r="M100" s="675"/>
      <c r="N100" s="675"/>
      <c r="O100" s="675"/>
      <c r="P100" s="675"/>
      <c r="Q100" s="675"/>
      <c r="R100" s="675"/>
      <c r="S100" s="675"/>
      <c r="T100" s="675"/>
      <c r="U100" s="8"/>
      <c r="V100" s="8"/>
      <c r="W100" s="8"/>
      <c r="X100" s="8"/>
      <c r="Y100" s="8"/>
      <c r="Z100" s="8"/>
      <c r="AA100" s="8"/>
      <c r="AB100" s="8"/>
      <c r="AC100" s="8"/>
    </row>
    <row r="101" ht="12.75" customHeight="1" spans="1:29" x14ac:dyDescent="0.25">
      <c r="A101" s="8"/>
      <c r="B101" s="8"/>
      <c r="C101" s="8"/>
      <c r="D101" s="8"/>
      <c r="E101" s="8"/>
      <c r="F101" s="8"/>
      <c r="G101" s="8"/>
      <c r="H101" s="675"/>
      <c r="I101" s="675"/>
      <c r="J101" s="675"/>
      <c r="K101" s="675"/>
      <c r="L101" s="675"/>
      <c r="M101" s="675"/>
      <c r="N101" s="675"/>
      <c r="O101" s="675"/>
      <c r="P101" s="675"/>
      <c r="Q101" s="675"/>
      <c r="R101" s="675"/>
      <c r="S101" s="675"/>
      <c r="T101" s="675"/>
      <c r="U101" s="8"/>
      <c r="V101" s="8"/>
      <c r="W101" s="8"/>
      <c r="X101" s="8"/>
      <c r="Y101" s="8"/>
      <c r="Z101" s="8"/>
      <c r="AA101" s="8"/>
      <c r="AB101" s="8"/>
      <c r="AC101" s="8"/>
    </row>
    <row r="102" ht="12.75" customHeight="1" spans="1:29" x14ac:dyDescent="0.25">
      <c r="A102" s="8"/>
      <c r="B102" s="8"/>
      <c r="C102" s="8"/>
      <c r="D102" s="8"/>
      <c r="E102" s="8"/>
      <c r="F102" s="8"/>
      <c r="G102" s="8"/>
      <c r="H102" s="675"/>
      <c r="I102" s="675"/>
      <c r="J102" s="675"/>
      <c r="K102" s="675"/>
      <c r="L102" s="675"/>
      <c r="M102" s="675"/>
      <c r="N102" s="675"/>
      <c r="O102" s="675"/>
      <c r="P102" s="675"/>
      <c r="Q102" s="675"/>
      <c r="R102" s="675"/>
      <c r="S102" s="675"/>
      <c r="T102" s="675"/>
      <c r="U102" s="8"/>
      <c r="V102" s="8"/>
      <c r="W102" s="8"/>
      <c r="X102" s="8"/>
      <c r="Y102" s="8"/>
      <c r="Z102" s="8"/>
      <c r="AA102" s="8"/>
      <c r="AB102" s="8"/>
      <c r="AC102" s="8"/>
    </row>
    <row r="103" ht="12.75" customHeight="1" spans="1:29" x14ac:dyDescent="0.25">
      <c r="A103" s="8"/>
      <c r="B103" s="8"/>
      <c r="C103" s="8"/>
      <c r="D103" s="8"/>
      <c r="E103" s="8"/>
      <c r="F103" s="8"/>
      <c r="G103" s="8"/>
      <c r="H103" s="675"/>
      <c r="I103" s="675"/>
      <c r="J103" s="675"/>
      <c r="K103" s="675"/>
      <c r="L103" s="675"/>
      <c r="M103" s="675"/>
      <c r="N103" s="675"/>
      <c r="O103" s="675"/>
      <c r="P103" s="675"/>
      <c r="Q103" s="675"/>
      <c r="R103" s="675"/>
      <c r="S103" s="675"/>
      <c r="T103" s="675"/>
      <c r="U103" s="8"/>
      <c r="V103" s="8"/>
      <c r="W103" s="8"/>
      <c r="X103" s="8"/>
      <c r="Y103" s="8"/>
      <c r="Z103" s="8"/>
      <c r="AA103" s="8"/>
      <c r="AB103" s="8"/>
      <c r="AC103" s="8"/>
    </row>
    <row r="104" ht="12.75" customHeight="1" spans="1:29" x14ac:dyDescent="0.25">
      <c r="A104" s="8"/>
      <c r="B104" s="8"/>
      <c r="C104" s="8"/>
      <c r="D104" s="8"/>
      <c r="E104" s="8"/>
      <c r="F104" s="8"/>
      <c r="G104" s="8"/>
      <c r="H104" s="675"/>
      <c r="I104" s="675"/>
      <c r="J104" s="675"/>
      <c r="K104" s="675"/>
      <c r="L104" s="675"/>
      <c r="M104" s="675"/>
      <c r="N104" s="675"/>
      <c r="O104" s="675"/>
      <c r="P104" s="675"/>
      <c r="Q104" s="675"/>
      <c r="R104" s="675"/>
      <c r="S104" s="675"/>
      <c r="T104" s="675"/>
      <c r="U104" s="8"/>
      <c r="V104" s="8"/>
      <c r="W104" s="8"/>
      <c r="X104" s="8"/>
      <c r="Y104" s="8"/>
      <c r="Z104" s="8"/>
      <c r="AA104" s="8"/>
      <c r="AB104" s="8"/>
      <c r="AC104" s="8"/>
    </row>
    <row r="105" ht="12.75" customHeight="1" spans="1:29" x14ac:dyDescent="0.25">
      <c r="A105" s="8"/>
      <c r="B105" s="8"/>
      <c r="C105" s="8"/>
      <c r="D105" s="8"/>
      <c r="E105" s="8"/>
      <c r="F105" s="8"/>
      <c r="G105" s="8"/>
      <c r="H105" s="675"/>
      <c r="I105" s="675"/>
      <c r="J105" s="675"/>
      <c r="K105" s="675"/>
      <c r="L105" s="675"/>
      <c r="M105" s="675"/>
      <c r="N105" s="675"/>
      <c r="O105" s="675"/>
      <c r="P105" s="675"/>
      <c r="Q105" s="675"/>
      <c r="R105" s="675"/>
      <c r="S105" s="675"/>
      <c r="T105" s="675"/>
      <c r="U105" s="8"/>
      <c r="V105" s="8"/>
      <c r="W105" s="8"/>
      <c r="X105" s="8"/>
      <c r="Y105" s="8"/>
      <c r="Z105" s="8"/>
      <c r="AA105" s="8"/>
      <c r="AB105" s="8"/>
      <c r="AC105" s="8"/>
    </row>
    <row r="106" ht="12.75" customHeight="1" spans="1:29" x14ac:dyDescent="0.25">
      <c r="A106" s="8"/>
      <c r="B106" s="8"/>
      <c r="C106" s="8"/>
      <c r="D106" s="8"/>
      <c r="E106" s="8"/>
      <c r="F106" s="8"/>
      <c r="G106" s="8"/>
      <c r="H106" s="675"/>
      <c r="I106" s="675"/>
      <c r="J106" s="675"/>
      <c r="K106" s="675"/>
      <c r="L106" s="675"/>
      <c r="M106" s="675"/>
      <c r="N106" s="675"/>
      <c r="O106" s="675"/>
      <c r="P106" s="675"/>
      <c r="Q106" s="675"/>
      <c r="R106" s="675"/>
      <c r="S106" s="675"/>
      <c r="T106" s="675"/>
      <c r="U106" s="8"/>
      <c r="V106" s="8"/>
      <c r="W106" s="8"/>
      <c r="X106" s="8"/>
      <c r="Y106" s="8"/>
      <c r="Z106" s="8"/>
      <c r="AA106" s="8"/>
      <c r="AB106" s="8"/>
      <c r="AC106" s="8"/>
    </row>
    <row r="107" ht="12.75" customHeight="1" spans="1:29" x14ac:dyDescent="0.25">
      <c r="A107" s="8"/>
      <c r="B107" s="8"/>
      <c r="C107" s="8"/>
      <c r="D107" s="8"/>
      <c r="E107" s="8"/>
      <c r="F107" s="8"/>
      <c r="G107" s="8"/>
      <c r="H107" s="675"/>
      <c r="I107" s="675"/>
      <c r="J107" s="675"/>
      <c r="K107" s="675"/>
      <c r="L107" s="675"/>
      <c r="M107" s="675"/>
      <c r="N107" s="675"/>
      <c r="O107" s="675"/>
      <c r="P107" s="675"/>
      <c r="Q107" s="675"/>
      <c r="R107" s="675"/>
      <c r="S107" s="675"/>
      <c r="T107" s="675"/>
      <c r="U107" s="8"/>
      <c r="V107" s="8"/>
      <c r="W107" s="8"/>
      <c r="X107" s="8"/>
      <c r="Y107" s="8"/>
      <c r="Z107" s="8"/>
      <c r="AA107" s="8"/>
      <c r="AB107" s="8"/>
      <c r="AC107" s="8"/>
    </row>
    <row r="108" ht="12.75" customHeight="1" spans="1:29" x14ac:dyDescent="0.25">
      <c r="A108" s="8"/>
      <c r="B108" s="8"/>
      <c r="C108" s="8"/>
      <c r="D108" s="8"/>
      <c r="E108" s="8"/>
      <c r="F108" s="8"/>
      <c r="G108" s="8"/>
      <c r="H108" s="675"/>
      <c r="I108" s="675"/>
      <c r="J108" s="675"/>
      <c r="K108" s="675"/>
      <c r="L108" s="675"/>
      <c r="M108" s="675"/>
      <c r="N108" s="675"/>
      <c r="O108" s="675"/>
      <c r="P108" s="675"/>
      <c r="Q108" s="675"/>
      <c r="R108" s="675"/>
      <c r="S108" s="675"/>
      <c r="T108" s="675"/>
      <c r="U108" s="8"/>
      <c r="V108" s="8"/>
      <c r="W108" s="8"/>
      <c r="X108" s="8"/>
      <c r="Y108" s="8"/>
      <c r="Z108" s="8"/>
      <c r="AA108" s="8"/>
      <c r="AB108" s="8"/>
      <c r="AC108" s="8"/>
    </row>
    <row r="109" ht="12.75" customHeight="1" spans="1:29" x14ac:dyDescent="0.25">
      <c r="A109" s="8"/>
      <c r="B109" s="8"/>
      <c r="C109" s="8"/>
      <c r="D109" s="8"/>
      <c r="E109" s="8"/>
      <c r="F109" s="8"/>
      <c r="G109" s="8"/>
      <c r="H109" s="675"/>
      <c r="I109" s="675"/>
      <c r="J109" s="675"/>
      <c r="K109" s="675"/>
      <c r="L109" s="675"/>
      <c r="M109" s="675"/>
      <c r="N109" s="675"/>
      <c r="O109" s="675"/>
      <c r="P109" s="675"/>
      <c r="Q109" s="675"/>
      <c r="R109" s="675"/>
      <c r="S109" s="675"/>
      <c r="T109" s="675"/>
      <c r="U109" s="8"/>
      <c r="V109" s="8"/>
      <c r="W109" s="8"/>
      <c r="X109" s="8"/>
      <c r="Y109" s="8"/>
      <c r="Z109" s="8"/>
      <c r="AA109" s="8"/>
      <c r="AB109" s="8"/>
      <c r="AC109" s="8"/>
    </row>
    <row r="110" ht="12.75" customHeight="1" spans="1:29" x14ac:dyDescent="0.25">
      <c r="A110" s="8"/>
      <c r="B110" s="8"/>
      <c r="C110" s="8"/>
      <c r="D110" s="8"/>
      <c r="E110" s="8"/>
      <c r="F110" s="8"/>
      <c r="G110" s="8"/>
      <c r="H110" s="675"/>
      <c r="I110" s="675"/>
      <c r="J110" s="675"/>
      <c r="K110" s="675"/>
      <c r="L110" s="675"/>
      <c r="M110" s="675"/>
      <c r="N110" s="675"/>
      <c r="O110" s="675"/>
      <c r="P110" s="675"/>
      <c r="Q110" s="675"/>
      <c r="R110" s="675"/>
      <c r="S110" s="675"/>
      <c r="T110" s="675"/>
      <c r="U110" s="8"/>
      <c r="V110" s="8"/>
      <c r="W110" s="8"/>
      <c r="X110" s="8"/>
      <c r="Y110" s="8"/>
      <c r="Z110" s="8"/>
      <c r="AA110" s="8"/>
      <c r="AB110" s="8"/>
      <c r="AC110" s="8"/>
    </row>
    <row r="111" ht="12.75" customHeight="1" spans="1:29" x14ac:dyDescent="0.25">
      <c r="A111" s="8"/>
      <c r="B111" s="8"/>
      <c r="C111" s="8"/>
      <c r="D111" s="8"/>
      <c r="E111" s="8"/>
      <c r="F111" s="8"/>
      <c r="G111" s="8"/>
      <c r="H111" s="675"/>
      <c r="I111" s="675"/>
      <c r="J111" s="675"/>
      <c r="K111" s="675"/>
      <c r="L111" s="675"/>
      <c r="M111" s="675"/>
      <c r="N111" s="675"/>
      <c r="O111" s="675"/>
      <c r="P111" s="675"/>
      <c r="Q111" s="675"/>
      <c r="R111" s="675"/>
      <c r="S111" s="675"/>
      <c r="T111" s="675"/>
      <c r="U111" s="8"/>
      <c r="V111" s="8"/>
      <c r="W111" s="8"/>
      <c r="X111" s="8"/>
      <c r="Y111" s="8"/>
      <c r="Z111" s="8"/>
      <c r="AA111" s="8"/>
      <c r="AB111" s="8"/>
      <c r="AC111" s="8"/>
    </row>
    <row r="112" ht="12.75" customHeight="1" spans="1:29" x14ac:dyDescent="0.25">
      <c r="A112" s="8"/>
      <c r="B112" s="8"/>
      <c r="C112" s="8"/>
      <c r="D112" s="8"/>
      <c r="E112" s="8"/>
      <c r="F112" s="8"/>
      <c r="G112" s="8"/>
      <c r="H112" s="675"/>
      <c r="I112" s="675"/>
      <c r="J112" s="675"/>
      <c r="K112" s="675"/>
      <c r="L112" s="675"/>
      <c r="M112" s="675"/>
      <c r="N112" s="675"/>
      <c r="O112" s="675"/>
      <c r="P112" s="675"/>
      <c r="Q112" s="675"/>
      <c r="R112" s="675"/>
      <c r="S112" s="675"/>
      <c r="T112" s="675"/>
      <c r="U112" s="8"/>
      <c r="V112" s="8"/>
      <c r="W112" s="8"/>
      <c r="X112" s="8"/>
      <c r="Y112" s="8"/>
      <c r="Z112" s="8"/>
      <c r="AA112" s="8"/>
      <c r="AB112" s="8"/>
      <c r="AC112" s="8"/>
    </row>
    <row r="113" ht="12.75" customHeight="1" spans="1:29" x14ac:dyDescent="0.25">
      <c r="A113" s="8"/>
      <c r="B113" s="8"/>
      <c r="C113" s="8"/>
      <c r="D113" s="8"/>
      <c r="E113" s="8"/>
      <c r="F113" s="8"/>
      <c r="G113" s="8"/>
      <c r="H113" s="675"/>
      <c r="I113" s="675"/>
      <c r="J113" s="675"/>
      <c r="K113" s="675"/>
      <c r="L113" s="675"/>
      <c r="M113" s="675"/>
      <c r="N113" s="675"/>
      <c r="O113" s="675"/>
      <c r="P113" s="675"/>
      <c r="Q113" s="675"/>
      <c r="R113" s="675"/>
      <c r="S113" s="675"/>
      <c r="T113" s="675"/>
      <c r="U113" s="8"/>
      <c r="V113" s="8"/>
      <c r="W113" s="8"/>
      <c r="X113" s="8"/>
      <c r="Y113" s="8"/>
      <c r="Z113" s="8"/>
      <c r="AA113" s="8"/>
      <c r="AB113" s="8"/>
      <c r="AC113" s="8"/>
    </row>
    <row r="114" ht="12.75" customHeight="1" spans="1:29" x14ac:dyDescent="0.25">
      <c r="A114" s="8"/>
      <c r="B114" s="8"/>
      <c r="C114" s="8"/>
      <c r="D114" s="8"/>
      <c r="E114" s="8"/>
      <c r="F114" s="8"/>
      <c r="G114" s="8"/>
      <c r="H114" s="675"/>
      <c r="I114" s="675"/>
      <c r="J114" s="675"/>
      <c r="K114" s="675"/>
      <c r="L114" s="675"/>
      <c r="M114" s="675"/>
      <c r="N114" s="675"/>
      <c r="O114" s="675"/>
      <c r="P114" s="675"/>
      <c r="Q114" s="675"/>
      <c r="R114" s="675"/>
      <c r="S114" s="675"/>
      <c r="T114" s="675"/>
      <c r="U114" s="8"/>
      <c r="V114" s="8"/>
      <c r="W114" s="8"/>
      <c r="X114" s="8"/>
      <c r="Y114" s="8"/>
      <c r="Z114" s="8"/>
      <c r="AA114" s="8"/>
      <c r="AB114" s="8"/>
      <c r="AC114" s="8"/>
    </row>
    <row r="115" ht="12.75" customHeight="1" spans="1:29" x14ac:dyDescent="0.25">
      <c r="A115" s="8"/>
      <c r="B115" s="8"/>
      <c r="C115" s="8"/>
      <c r="D115" s="8"/>
      <c r="E115" s="8"/>
      <c r="F115" s="8"/>
      <c r="G115" s="8"/>
      <c r="H115" s="675"/>
      <c r="I115" s="675"/>
      <c r="J115" s="675"/>
      <c r="K115" s="675"/>
      <c r="L115" s="675"/>
      <c r="M115" s="675"/>
      <c r="N115" s="675"/>
      <c r="O115" s="675"/>
      <c r="P115" s="675"/>
      <c r="Q115" s="675"/>
      <c r="R115" s="675"/>
      <c r="S115" s="675"/>
      <c r="T115" s="675"/>
      <c r="U115" s="8"/>
      <c r="V115" s="8"/>
      <c r="W115" s="8"/>
      <c r="X115" s="8"/>
      <c r="Y115" s="8"/>
      <c r="Z115" s="8"/>
      <c r="AA115" s="8"/>
      <c r="AB115" s="8"/>
      <c r="AC115" s="8"/>
    </row>
    <row r="116" ht="12.75" customHeight="1" spans="1:29" x14ac:dyDescent="0.25">
      <c r="A116" s="8"/>
      <c r="B116" s="8"/>
      <c r="C116" s="8"/>
      <c r="D116" s="8"/>
      <c r="E116" s="8"/>
      <c r="F116" s="8"/>
      <c r="G116" s="8"/>
      <c r="H116" s="675"/>
      <c r="I116" s="675"/>
      <c r="J116" s="675"/>
      <c r="K116" s="675"/>
      <c r="L116" s="675"/>
      <c r="M116" s="675"/>
      <c r="N116" s="675"/>
      <c r="O116" s="675"/>
      <c r="P116" s="675"/>
      <c r="Q116" s="675"/>
      <c r="R116" s="675"/>
      <c r="S116" s="675"/>
      <c r="T116" s="675"/>
      <c r="U116" s="8"/>
      <c r="V116" s="8"/>
      <c r="W116" s="8"/>
      <c r="X116" s="8"/>
      <c r="Y116" s="8"/>
      <c r="Z116" s="8"/>
      <c r="AA116" s="8"/>
      <c r="AB116" s="8"/>
      <c r="AC116" s="8"/>
    </row>
    <row r="117" ht="12.75" customHeight="1" spans="1:29" x14ac:dyDescent="0.25">
      <c r="A117" s="8"/>
      <c r="B117" s="8"/>
      <c r="C117" s="8"/>
      <c r="D117" s="8"/>
      <c r="E117" s="8"/>
      <c r="F117" s="8"/>
      <c r="G117" s="8"/>
      <c r="H117" s="675"/>
      <c r="I117" s="675"/>
      <c r="J117" s="675"/>
      <c r="K117" s="675"/>
      <c r="L117" s="675"/>
      <c r="M117" s="675"/>
      <c r="N117" s="675"/>
      <c r="O117" s="675"/>
      <c r="P117" s="675"/>
      <c r="Q117" s="675"/>
      <c r="R117" s="675"/>
      <c r="S117" s="675"/>
      <c r="T117" s="675"/>
      <c r="U117" s="8"/>
      <c r="V117" s="8"/>
      <c r="W117" s="8"/>
      <c r="X117" s="8"/>
      <c r="Y117" s="8"/>
      <c r="Z117" s="8"/>
      <c r="AA117" s="8"/>
      <c r="AB117" s="8"/>
      <c r="AC117" s="8"/>
    </row>
    <row r="118" ht="12.75" customHeight="1" spans="1:29" x14ac:dyDescent="0.25">
      <c r="A118" s="8"/>
      <c r="B118" s="8"/>
      <c r="C118" s="8"/>
      <c r="D118" s="8"/>
      <c r="E118" s="8"/>
      <c r="F118" s="8"/>
      <c r="G118" s="8"/>
      <c r="H118" s="675"/>
      <c r="I118" s="675"/>
      <c r="J118" s="675"/>
      <c r="K118" s="675"/>
      <c r="L118" s="675"/>
      <c r="M118" s="675"/>
      <c r="N118" s="675"/>
      <c r="O118" s="675"/>
      <c r="P118" s="675"/>
      <c r="Q118" s="675"/>
      <c r="R118" s="675"/>
      <c r="S118" s="675"/>
      <c r="T118" s="675"/>
      <c r="U118" s="8"/>
      <c r="V118" s="8"/>
      <c r="W118" s="8"/>
      <c r="X118" s="8"/>
      <c r="Y118" s="8"/>
      <c r="Z118" s="8"/>
      <c r="AA118" s="8"/>
      <c r="AB118" s="8"/>
      <c r="AC118" s="8"/>
    </row>
    <row r="119" ht="12.75" customHeight="1" spans="1:29" x14ac:dyDescent="0.25">
      <c r="A119" s="8"/>
      <c r="B119" s="8"/>
      <c r="C119" s="8"/>
      <c r="D119" s="8"/>
      <c r="E119" s="8"/>
      <c r="F119" s="8"/>
      <c r="G119" s="8"/>
      <c r="H119" s="675"/>
      <c r="I119" s="675"/>
      <c r="J119" s="675"/>
      <c r="K119" s="675"/>
      <c r="L119" s="675"/>
      <c r="M119" s="675"/>
      <c r="N119" s="675"/>
      <c r="O119" s="675"/>
      <c r="P119" s="675"/>
      <c r="Q119" s="675"/>
      <c r="R119" s="675"/>
      <c r="S119" s="675"/>
      <c r="T119" s="675"/>
      <c r="U119" s="8"/>
      <c r="V119" s="8"/>
      <c r="W119" s="8"/>
      <c r="X119" s="8"/>
      <c r="Y119" s="8"/>
      <c r="Z119" s="8"/>
      <c r="AA119" s="8"/>
      <c r="AB119" s="8"/>
      <c r="AC119" s="8"/>
    </row>
    <row r="120" ht="12.75" customHeight="1" spans="1:29" x14ac:dyDescent="0.25">
      <c r="A120" s="8"/>
      <c r="B120" s="8"/>
      <c r="C120" s="8"/>
      <c r="D120" s="8"/>
      <c r="E120" s="8"/>
      <c r="F120" s="8"/>
      <c r="G120" s="8"/>
      <c r="H120" s="675"/>
      <c r="I120" s="675"/>
      <c r="J120" s="675"/>
      <c r="K120" s="675"/>
      <c r="L120" s="675"/>
      <c r="M120" s="675"/>
      <c r="N120" s="675"/>
      <c r="O120" s="675"/>
      <c r="P120" s="675"/>
      <c r="Q120" s="675"/>
      <c r="R120" s="675"/>
      <c r="S120" s="675"/>
      <c r="T120" s="675"/>
      <c r="U120" s="8"/>
      <c r="V120" s="8"/>
      <c r="W120" s="8"/>
      <c r="X120" s="8"/>
      <c r="Y120" s="8"/>
      <c r="Z120" s="8"/>
      <c r="AA120" s="8"/>
      <c r="AB120" s="8"/>
      <c r="AC120" s="8"/>
    </row>
    <row r="121" ht="12.75" customHeight="1" spans="1:29" x14ac:dyDescent="0.25">
      <c r="A121" s="8"/>
      <c r="B121" s="8"/>
      <c r="C121" s="8"/>
      <c r="D121" s="8"/>
      <c r="E121" s="8"/>
      <c r="F121" s="8"/>
      <c r="G121" s="8"/>
      <c r="H121" s="675"/>
      <c r="I121" s="675"/>
      <c r="J121" s="675"/>
      <c r="K121" s="675"/>
      <c r="L121" s="675"/>
      <c r="M121" s="675"/>
      <c r="N121" s="675"/>
      <c r="O121" s="675"/>
      <c r="P121" s="675"/>
      <c r="Q121" s="675"/>
      <c r="R121" s="675"/>
      <c r="S121" s="675"/>
      <c r="T121" s="675"/>
      <c r="U121" s="8"/>
      <c r="V121" s="8"/>
      <c r="W121" s="8"/>
      <c r="X121" s="8"/>
      <c r="Y121" s="8"/>
      <c r="Z121" s="8"/>
      <c r="AA121" s="8"/>
      <c r="AB121" s="8"/>
      <c r="AC121" s="8"/>
    </row>
    <row r="122" ht="12.75" customHeight="1" spans="1:29" x14ac:dyDescent="0.25">
      <c r="A122" s="8"/>
      <c r="B122" s="8"/>
      <c r="C122" s="8"/>
      <c r="D122" s="8"/>
      <c r="E122" s="8"/>
      <c r="F122" s="8"/>
      <c r="G122" s="8"/>
      <c r="H122" s="675"/>
      <c r="I122" s="675"/>
      <c r="J122" s="675"/>
      <c r="K122" s="675"/>
      <c r="L122" s="675"/>
      <c r="M122" s="675"/>
      <c r="N122" s="675"/>
      <c r="O122" s="675"/>
      <c r="P122" s="675"/>
      <c r="Q122" s="675"/>
      <c r="R122" s="675"/>
      <c r="S122" s="675"/>
      <c r="T122" s="675"/>
      <c r="U122" s="8"/>
      <c r="V122" s="8"/>
      <c r="W122" s="8"/>
      <c r="X122" s="8"/>
      <c r="Y122" s="8"/>
      <c r="Z122" s="8"/>
      <c r="AA122" s="8"/>
      <c r="AB122" s="8"/>
      <c r="AC122" s="8"/>
    </row>
    <row r="123" ht="12.75" customHeight="1" spans="1:29" x14ac:dyDescent="0.25">
      <c r="A123" s="8"/>
      <c r="B123" s="8"/>
      <c r="C123" s="8"/>
      <c r="D123" s="8"/>
      <c r="E123" s="8"/>
      <c r="F123" s="8"/>
      <c r="G123" s="8"/>
      <c r="H123" s="675"/>
      <c r="I123" s="675"/>
      <c r="J123" s="675"/>
      <c r="K123" s="675"/>
      <c r="L123" s="675"/>
      <c r="M123" s="675"/>
      <c r="N123" s="675"/>
      <c r="O123" s="675"/>
      <c r="P123" s="675"/>
      <c r="Q123" s="675"/>
      <c r="R123" s="675"/>
      <c r="S123" s="675"/>
      <c r="T123" s="675"/>
      <c r="U123" s="8"/>
      <c r="V123" s="8"/>
      <c r="W123" s="8"/>
      <c r="X123" s="8"/>
      <c r="Y123" s="8"/>
      <c r="Z123" s="8"/>
      <c r="AA123" s="8"/>
      <c r="AB123" s="8"/>
      <c r="AC123" s="8"/>
    </row>
    <row r="124" ht="12.75" customHeight="1" spans="1:29" x14ac:dyDescent="0.25">
      <c r="A124" s="8"/>
      <c r="B124" s="8"/>
      <c r="C124" s="8"/>
      <c r="D124" s="8"/>
      <c r="E124" s="8"/>
      <c r="F124" s="8"/>
      <c r="G124" s="8"/>
      <c r="H124" s="675"/>
      <c r="I124" s="675"/>
      <c r="J124" s="675"/>
      <c r="K124" s="675"/>
      <c r="L124" s="675"/>
      <c r="M124" s="675"/>
      <c r="N124" s="675"/>
      <c r="O124" s="675"/>
      <c r="P124" s="675"/>
      <c r="Q124" s="675"/>
      <c r="R124" s="675"/>
      <c r="S124" s="675"/>
      <c r="T124" s="675"/>
      <c r="U124" s="8"/>
      <c r="V124" s="8"/>
      <c r="W124" s="8"/>
      <c r="X124" s="8"/>
      <c r="Y124" s="8"/>
      <c r="Z124" s="8"/>
      <c r="AA124" s="8"/>
      <c r="AB124" s="8"/>
      <c r="AC124" s="8"/>
    </row>
    <row r="125" ht="12.75" customHeight="1" spans="1:29" x14ac:dyDescent="0.25">
      <c r="A125" s="8"/>
      <c r="B125" s="8"/>
      <c r="C125" s="8"/>
      <c r="D125" s="8"/>
      <c r="E125" s="8"/>
      <c r="F125" s="8"/>
      <c r="G125" s="8"/>
      <c r="H125" s="675"/>
      <c r="I125" s="675"/>
      <c r="J125" s="675"/>
      <c r="K125" s="675"/>
      <c r="L125" s="675"/>
      <c r="M125" s="675"/>
      <c r="N125" s="675"/>
      <c r="O125" s="675"/>
      <c r="P125" s="675"/>
      <c r="Q125" s="675"/>
      <c r="R125" s="675"/>
      <c r="S125" s="675"/>
      <c r="T125" s="675"/>
      <c r="U125" s="8"/>
      <c r="V125" s="8"/>
      <c r="W125" s="8"/>
      <c r="X125" s="8"/>
      <c r="Y125" s="8"/>
      <c r="Z125" s="8"/>
      <c r="AA125" s="8"/>
      <c r="AB125" s="8"/>
      <c r="AC125" s="8"/>
    </row>
    <row r="126" ht="12.75" customHeight="1" spans="1:29" x14ac:dyDescent="0.25">
      <c r="A126" s="8"/>
      <c r="B126" s="8"/>
      <c r="C126" s="8"/>
      <c r="D126" s="8"/>
      <c r="E126" s="8"/>
      <c r="F126" s="8"/>
      <c r="G126" s="8"/>
      <c r="H126" s="675"/>
      <c r="I126" s="675"/>
      <c r="J126" s="675"/>
      <c r="K126" s="675"/>
      <c r="L126" s="675"/>
      <c r="M126" s="675"/>
      <c r="N126" s="675"/>
      <c r="O126" s="675"/>
      <c r="P126" s="675"/>
      <c r="Q126" s="675"/>
      <c r="R126" s="675"/>
      <c r="S126" s="675"/>
      <c r="T126" s="675"/>
      <c r="U126" s="8"/>
      <c r="V126" s="8"/>
      <c r="W126" s="8"/>
      <c r="X126" s="8"/>
      <c r="Y126" s="8"/>
      <c r="Z126" s="8"/>
      <c r="AA126" s="8"/>
      <c r="AB126" s="8"/>
      <c r="AC126" s="8"/>
    </row>
    <row r="127" ht="12.75" customHeight="1" spans="1:29" x14ac:dyDescent="0.25">
      <c r="A127" s="8"/>
      <c r="B127" s="8"/>
      <c r="C127" s="8"/>
      <c r="D127" s="8"/>
      <c r="E127" s="8"/>
      <c r="F127" s="8"/>
      <c r="G127" s="8"/>
      <c r="H127" s="675"/>
      <c r="I127" s="675"/>
      <c r="J127" s="675"/>
      <c r="K127" s="675"/>
      <c r="L127" s="675"/>
      <c r="M127" s="675"/>
      <c r="N127" s="675"/>
      <c r="O127" s="675"/>
      <c r="P127" s="675"/>
      <c r="Q127" s="675"/>
      <c r="R127" s="675"/>
      <c r="S127" s="675"/>
      <c r="T127" s="675"/>
      <c r="U127" s="8"/>
      <c r="V127" s="8"/>
      <c r="W127" s="8"/>
      <c r="X127" s="8"/>
      <c r="Y127" s="8"/>
      <c r="Z127" s="8"/>
      <c r="AA127" s="8"/>
      <c r="AB127" s="8"/>
      <c r="AC127" s="8"/>
    </row>
    <row r="128" ht="12.75" customHeight="1" spans="1:29" x14ac:dyDescent="0.25">
      <c r="A128" s="8"/>
      <c r="B128" s="8"/>
      <c r="C128" s="8"/>
      <c r="D128" s="8"/>
      <c r="E128" s="8"/>
      <c r="F128" s="8"/>
      <c r="G128" s="8"/>
      <c r="H128" s="675"/>
      <c r="I128" s="675"/>
      <c r="J128" s="675"/>
      <c r="K128" s="675"/>
      <c r="L128" s="675"/>
      <c r="M128" s="675"/>
      <c r="N128" s="675"/>
      <c r="O128" s="675"/>
      <c r="P128" s="675"/>
      <c r="Q128" s="675"/>
      <c r="R128" s="675"/>
      <c r="S128" s="675"/>
      <c r="T128" s="675"/>
      <c r="U128" s="8"/>
      <c r="V128" s="8"/>
      <c r="W128" s="8"/>
      <c r="X128" s="8"/>
      <c r="Y128" s="8"/>
      <c r="Z128" s="8"/>
      <c r="AA128" s="8"/>
      <c r="AB128" s="8"/>
      <c r="AC128" s="8"/>
    </row>
    <row r="129" ht="12.75" customHeight="1" spans="1:29" x14ac:dyDescent="0.25">
      <c r="A129" s="8"/>
      <c r="B129" s="8"/>
      <c r="C129" s="8"/>
      <c r="D129" s="8"/>
      <c r="E129" s="8"/>
      <c r="F129" s="8"/>
      <c r="G129" s="8"/>
      <c r="H129" s="675"/>
      <c r="I129" s="675"/>
      <c r="J129" s="675"/>
      <c r="K129" s="675"/>
      <c r="L129" s="675"/>
      <c r="M129" s="675"/>
      <c r="N129" s="675"/>
      <c r="O129" s="675"/>
      <c r="P129" s="675"/>
      <c r="Q129" s="675"/>
      <c r="R129" s="675"/>
      <c r="S129" s="675"/>
      <c r="T129" s="675"/>
      <c r="U129" s="8"/>
      <c r="V129" s="8"/>
      <c r="W129" s="8"/>
      <c r="X129" s="8"/>
      <c r="Y129" s="8"/>
      <c r="Z129" s="8"/>
      <c r="AA129" s="8"/>
      <c r="AB129" s="8"/>
      <c r="AC129" s="8"/>
    </row>
    <row r="130" ht="12.75" customHeight="1" spans="1:29" x14ac:dyDescent="0.25">
      <c r="A130" s="8"/>
      <c r="B130" s="8"/>
      <c r="C130" s="8"/>
      <c r="D130" s="8"/>
      <c r="E130" s="8"/>
      <c r="F130" s="8"/>
      <c r="G130" s="8"/>
      <c r="H130" s="675"/>
      <c r="I130" s="675"/>
      <c r="J130" s="675"/>
      <c r="K130" s="675"/>
      <c r="L130" s="675"/>
      <c r="M130" s="675"/>
      <c r="N130" s="675"/>
      <c r="O130" s="675"/>
      <c r="P130" s="675"/>
      <c r="Q130" s="675"/>
      <c r="R130" s="675"/>
      <c r="S130" s="675"/>
      <c r="T130" s="675"/>
      <c r="U130" s="8"/>
      <c r="V130" s="8"/>
      <c r="W130" s="8"/>
      <c r="X130" s="8"/>
      <c r="Y130" s="8"/>
      <c r="Z130" s="8"/>
      <c r="AA130" s="8"/>
      <c r="AB130" s="8"/>
      <c r="AC130" s="8"/>
    </row>
    <row r="131" ht="12.75" customHeight="1" spans="1:29" x14ac:dyDescent="0.25">
      <c r="A131" s="8"/>
      <c r="B131" s="8"/>
      <c r="C131" s="8"/>
      <c r="D131" s="8"/>
      <c r="E131" s="8"/>
      <c r="F131" s="8"/>
      <c r="G131" s="8"/>
      <c r="H131" s="675"/>
      <c r="I131" s="675"/>
      <c r="J131" s="675"/>
      <c r="K131" s="675"/>
      <c r="L131" s="675"/>
      <c r="M131" s="675"/>
      <c r="N131" s="675"/>
      <c r="O131" s="675"/>
      <c r="P131" s="675"/>
      <c r="Q131" s="675"/>
      <c r="R131" s="675"/>
      <c r="S131" s="675"/>
      <c r="T131" s="675"/>
      <c r="U131" s="8"/>
      <c r="V131" s="8"/>
      <c r="W131" s="8"/>
      <c r="X131" s="8"/>
      <c r="Y131" s="8"/>
      <c r="Z131" s="8"/>
      <c r="AA131" s="8"/>
      <c r="AB131" s="8"/>
      <c r="AC131" s="8"/>
    </row>
    <row r="132" ht="12.75" customHeight="1" spans="1:29" x14ac:dyDescent="0.25">
      <c r="A132" s="8"/>
      <c r="B132" s="8"/>
      <c r="C132" s="8"/>
      <c r="D132" s="8"/>
      <c r="E132" s="8"/>
      <c r="F132" s="8"/>
      <c r="G132" s="8"/>
      <c r="H132" s="675"/>
      <c r="I132" s="675"/>
      <c r="J132" s="675"/>
      <c r="K132" s="675"/>
      <c r="L132" s="675"/>
      <c r="M132" s="675"/>
      <c r="N132" s="675"/>
      <c r="O132" s="675"/>
      <c r="P132" s="675"/>
      <c r="Q132" s="675"/>
      <c r="R132" s="675"/>
      <c r="S132" s="675"/>
      <c r="T132" s="675"/>
      <c r="U132" s="8"/>
      <c r="V132" s="8"/>
      <c r="W132" s="8"/>
      <c r="X132" s="8"/>
      <c r="Y132" s="8"/>
      <c r="Z132" s="8"/>
      <c r="AA132" s="8"/>
      <c r="AB132" s="8"/>
      <c r="AC132" s="8"/>
    </row>
    <row r="133" ht="12.75" customHeight="1" spans="1:29" x14ac:dyDescent="0.25">
      <c r="A133" s="8"/>
      <c r="B133" s="8"/>
      <c r="C133" s="8"/>
      <c r="D133" s="8"/>
      <c r="E133" s="8"/>
      <c r="F133" s="8"/>
      <c r="G133" s="8"/>
      <c r="H133" s="675"/>
      <c r="I133" s="675"/>
      <c r="J133" s="675"/>
      <c r="K133" s="675"/>
      <c r="L133" s="675"/>
      <c r="M133" s="675"/>
      <c r="N133" s="675"/>
      <c r="O133" s="675"/>
      <c r="P133" s="675"/>
      <c r="Q133" s="675"/>
      <c r="R133" s="675"/>
      <c r="S133" s="675"/>
      <c r="T133" s="675"/>
      <c r="U133" s="8"/>
      <c r="V133" s="8"/>
      <c r="W133" s="8"/>
      <c r="X133" s="8"/>
      <c r="Y133" s="8"/>
      <c r="Z133" s="8"/>
      <c r="AA133" s="8"/>
      <c r="AB133" s="8"/>
      <c r="AC133" s="8"/>
    </row>
    <row r="134" ht="12.75" customHeight="1" spans="1:29" x14ac:dyDescent="0.25">
      <c r="A134" s="8"/>
      <c r="B134" s="8"/>
      <c r="C134" s="8"/>
      <c r="D134" s="8"/>
      <c r="E134" s="8"/>
      <c r="F134" s="8"/>
      <c r="G134" s="8"/>
      <c r="H134" s="675"/>
      <c r="I134" s="675"/>
      <c r="J134" s="675"/>
      <c r="K134" s="675"/>
      <c r="L134" s="675"/>
      <c r="M134" s="675"/>
      <c r="N134" s="675"/>
      <c r="O134" s="675"/>
      <c r="P134" s="675"/>
      <c r="Q134" s="675"/>
      <c r="R134" s="675"/>
      <c r="S134" s="675"/>
      <c r="T134" s="675"/>
      <c r="U134" s="8"/>
      <c r="V134" s="8"/>
      <c r="W134" s="8"/>
      <c r="X134" s="8"/>
      <c r="Y134" s="8"/>
      <c r="Z134" s="8"/>
      <c r="AA134" s="8"/>
      <c r="AB134" s="8"/>
      <c r="AC134" s="8"/>
    </row>
    <row r="135" ht="12.75" customHeight="1" spans="1:29" x14ac:dyDescent="0.25">
      <c r="A135" s="8"/>
      <c r="B135" s="8"/>
      <c r="C135" s="8"/>
      <c r="D135" s="8"/>
      <c r="E135" s="8"/>
      <c r="F135" s="8"/>
      <c r="G135" s="8"/>
      <c r="H135" s="675"/>
      <c r="I135" s="675"/>
      <c r="J135" s="675"/>
      <c r="K135" s="675"/>
      <c r="L135" s="675"/>
      <c r="M135" s="675"/>
      <c r="N135" s="675"/>
      <c r="O135" s="675"/>
      <c r="P135" s="675"/>
      <c r="Q135" s="675"/>
      <c r="R135" s="675"/>
      <c r="S135" s="675"/>
      <c r="T135" s="675"/>
      <c r="U135" s="8"/>
      <c r="V135" s="8"/>
      <c r="W135" s="8"/>
      <c r="X135" s="8"/>
      <c r="Y135" s="8"/>
      <c r="Z135" s="8"/>
      <c r="AA135" s="8"/>
      <c r="AB135" s="8"/>
      <c r="AC135" s="8"/>
    </row>
    <row r="136" ht="12.75" customHeight="1" spans="1:29" x14ac:dyDescent="0.25">
      <c r="A136" s="8"/>
      <c r="B136" s="8"/>
      <c r="C136" s="8"/>
      <c r="D136" s="8"/>
      <c r="E136" s="8"/>
      <c r="F136" s="8"/>
      <c r="G136" s="8"/>
      <c r="H136" s="675"/>
      <c r="I136" s="675"/>
      <c r="J136" s="675"/>
      <c r="K136" s="675"/>
      <c r="L136" s="675"/>
      <c r="M136" s="675"/>
      <c r="N136" s="675"/>
      <c r="O136" s="675"/>
      <c r="P136" s="675"/>
      <c r="Q136" s="675"/>
      <c r="R136" s="675"/>
      <c r="S136" s="675"/>
      <c r="T136" s="675"/>
      <c r="U136" s="8"/>
      <c r="V136" s="8"/>
      <c r="W136" s="8"/>
      <c r="X136" s="8"/>
      <c r="Y136" s="8"/>
      <c r="Z136" s="8"/>
      <c r="AA136" s="8"/>
      <c r="AB136" s="8"/>
      <c r="AC136" s="8"/>
    </row>
    <row r="137" ht="12.75" customHeight="1" spans="1:29" x14ac:dyDescent="0.25">
      <c r="A137" s="8"/>
      <c r="B137" s="8"/>
      <c r="C137" s="8"/>
      <c r="D137" s="8"/>
      <c r="E137" s="8"/>
      <c r="F137" s="8"/>
      <c r="G137" s="8"/>
      <c r="H137" s="675"/>
      <c r="I137" s="675"/>
      <c r="J137" s="675"/>
      <c r="K137" s="675"/>
      <c r="L137" s="675"/>
      <c r="M137" s="675"/>
      <c r="N137" s="675"/>
      <c r="O137" s="675"/>
      <c r="P137" s="675"/>
      <c r="Q137" s="675"/>
      <c r="R137" s="675"/>
      <c r="S137" s="675"/>
      <c r="T137" s="675"/>
      <c r="U137" s="8"/>
      <c r="V137" s="8"/>
      <c r="W137" s="8"/>
      <c r="X137" s="8"/>
      <c r="Y137" s="8"/>
      <c r="Z137" s="8"/>
      <c r="AA137" s="8"/>
      <c r="AB137" s="8"/>
      <c r="AC137" s="8"/>
    </row>
    <row r="138" ht="12.75" customHeight="1" spans="1:29" x14ac:dyDescent="0.25">
      <c r="A138" s="8"/>
      <c r="B138" s="8"/>
      <c r="C138" s="8"/>
      <c r="D138" s="8"/>
      <c r="E138" s="8"/>
      <c r="F138" s="8"/>
      <c r="G138" s="8"/>
      <c r="H138" s="675"/>
      <c r="I138" s="675"/>
      <c r="J138" s="675"/>
      <c r="K138" s="675"/>
      <c r="L138" s="675"/>
      <c r="M138" s="675"/>
      <c r="N138" s="675"/>
      <c r="O138" s="675"/>
      <c r="P138" s="675"/>
      <c r="Q138" s="675"/>
      <c r="R138" s="675"/>
      <c r="S138" s="675"/>
      <c r="T138" s="675"/>
      <c r="U138" s="8"/>
      <c r="V138" s="8"/>
      <c r="W138" s="8"/>
      <c r="X138" s="8"/>
      <c r="Y138" s="8"/>
      <c r="Z138" s="8"/>
      <c r="AA138" s="8"/>
      <c r="AB138" s="8"/>
      <c r="AC138" s="8"/>
    </row>
    <row r="139" ht="12.75" customHeight="1" spans="1:29" x14ac:dyDescent="0.25">
      <c r="A139" s="8"/>
      <c r="B139" s="8"/>
      <c r="C139" s="8"/>
      <c r="D139" s="8"/>
      <c r="E139" s="8"/>
      <c r="F139" s="8"/>
      <c r="G139" s="8"/>
      <c r="H139" s="675"/>
      <c r="I139" s="675"/>
      <c r="J139" s="675"/>
      <c r="K139" s="675"/>
      <c r="L139" s="675"/>
      <c r="M139" s="675"/>
      <c r="N139" s="675"/>
      <c r="O139" s="675"/>
      <c r="P139" s="675"/>
      <c r="Q139" s="675"/>
      <c r="R139" s="675"/>
      <c r="S139" s="675"/>
      <c r="T139" s="675"/>
      <c r="U139" s="8"/>
      <c r="V139" s="8"/>
      <c r="W139" s="8"/>
      <c r="X139" s="8"/>
      <c r="Y139" s="8"/>
      <c r="Z139" s="8"/>
      <c r="AA139" s="8"/>
      <c r="AB139" s="8"/>
      <c r="AC139" s="8"/>
    </row>
    <row r="140" ht="12.75" customHeight="1" spans="1:29" x14ac:dyDescent="0.25">
      <c r="A140" s="8"/>
      <c r="B140" s="8"/>
      <c r="C140" s="8"/>
      <c r="D140" s="8"/>
      <c r="E140" s="8"/>
      <c r="F140" s="8"/>
      <c r="G140" s="8"/>
      <c r="H140" s="675"/>
      <c r="I140" s="675"/>
      <c r="J140" s="675"/>
      <c r="K140" s="675"/>
      <c r="L140" s="675"/>
      <c r="M140" s="675"/>
      <c r="N140" s="675"/>
      <c r="O140" s="675"/>
      <c r="P140" s="675"/>
      <c r="Q140" s="675"/>
      <c r="R140" s="675"/>
      <c r="S140" s="675"/>
      <c r="T140" s="675"/>
      <c r="U140" s="8"/>
      <c r="V140" s="8"/>
      <c r="W140" s="8"/>
      <c r="X140" s="8"/>
      <c r="Y140" s="8"/>
      <c r="Z140" s="8"/>
      <c r="AA140" s="8"/>
      <c r="AB140" s="8"/>
      <c r="AC140" s="8"/>
    </row>
    <row r="141" ht="12.75" customHeight="1" spans="1:29" x14ac:dyDescent="0.25">
      <c r="A141" s="8"/>
      <c r="B141" s="8"/>
      <c r="C141" s="8"/>
      <c r="D141" s="8"/>
      <c r="E141" s="8"/>
      <c r="F141" s="8"/>
      <c r="G141" s="8"/>
      <c r="H141" s="675"/>
      <c r="I141" s="675"/>
      <c r="J141" s="675"/>
      <c r="K141" s="675"/>
      <c r="L141" s="675"/>
      <c r="M141" s="675"/>
      <c r="N141" s="675"/>
      <c r="O141" s="675"/>
      <c r="P141" s="675"/>
      <c r="Q141" s="675"/>
      <c r="R141" s="675"/>
      <c r="S141" s="675"/>
      <c r="T141" s="675"/>
      <c r="U141" s="8"/>
      <c r="V141" s="8"/>
      <c r="W141" s="8"/>
      <c r="X141" s="8"/>
      <c r="Y141" s="8"/>
      <c r="Z141" s="8"/>
      <c r="AA141" s="8"/>
      <c r="AB141" s="8"/>
      <c r="AC141" s="8"/>
    </row>
    <row r="142" ht="12.75" customHeight="1" spans="1:29" x14ac:dyDescent="0.25">
      <c r="A142" s="8"/>
      <c r="B142" s="8"/>
      <c r="C142" s="8"/>
      <c r="D142" s="8"/>
      <c r="E142" s="8"/>
      <c r="F142" s="8"/>
      <c r="G142" s="8"/>
      <c r="H142" s="675"/>
      <c r="I142" s="675"/>
      <c r="J142" s="675"/>
      <c r="K142" s="675"/>
      <c r="L142" s="675"/>
      <c r="M142" s="675"/>
      <c r="N142" s="675"/>
      <c r="O142" s="675"/>
      <c r="P142" s="675"/>
      <c r="Q142" s="675"/>
      <c r="R142" s="675"/>
      <c r="S142" s="675"/>
      <c r="T142" s="675"/>
      <c r="U142" s="8"/>
      <c r="V142" s="8"/>
      <c r="W142" s="8"/>
      <c r="X142" s="8"/>
      <c r="Y142" s="8"/>
      <c r="Z142" s="8"/>
      <c r="AA142" s="8"/>
      <c r="AB142" s="8"/>
      <c r="AC142" s="8"/>
    </row>
    <row r="143" ht="12.75" customHeight="1" spans="1:29" x14ac:dyDescent="0.25">
      <c r="A143" s="8"/>
      <c r="B143" s="8"/>
      <c r="C143" s="8"/>
      <c r="D143" s="8"/>
      <c r="E143" s="8"/>
      <c r="F143" s="8"/>
      <c r="G143" s="8"/>
      <c r="H143" s="675"/>
      <c r="I143" s="675"/>
      <c r="J143" s="675"/>
      <c r="K143" s="675"/>
      <c r="L143" s="675"/>
      <c r="M143" s="675"/>
      <c r="N143" s="675"/>
      <c r="O143" s="675"/>
      <c r="P143" s="675"/>
      <c r="Q143" s="675"/>
      <c r="R143" s="675"/>
      <c r="S143" s="675"/>
      <c r="T143" s="675"/>
      <c r="U143" s="8"/>
      <c r="V143" s="8"/>
      <c r="W143" s="8"/>
      <c r="X143" s="8"/>
      <c r="Y143" s="8"/>
      <c r="Z143" s="8"/>
      <c r="AA143" s="8"/>
      <c r="AB143" s="8"/>
      <c r="AC143" s="8"/>
    </row>
    <row r="144" ht="12.75" customHeight="1" spans="1:29" x14ac:dyDescent="0.25">
      <c r="A144" s="8"/>
      <c r="B144" s="8"/>
      <c r="C144" s="8"/>
      <c r="D144" s="8"/>
      <c r="E144" s="8"/>
      <c r="F144" s="8"/>
      <c r="G144" s="8"/>
      <c r="H144" s="675"/>
      <c r="I144" s="675"/>
      <c r="J144" s="675"/>
      <c r="K144" s="675"/>
      <c r="L144" s="675"/>
      <c r="M144" s="675"/>
      <c r="N144" s="675"/>
      <c r="O144" s="675"/>
      <c r="P144" s="675"/>
      <c r="Q144" s="675"/>
      <c r="R144" s="675"/>
      <c r="S144" s="675"/>
      <c r="T144" s="675"/>
      <c r="U144" s="8"/>
      <c r="V144" s="8"/>
      <c r="W144" s="8"/>
      <c r="X144" s="8"/>
      <c r="Y144" s="8"/>
      <c r="Z144" s="8"/>
      <c r="AA144" s="8"/>
      <c r="AB144" s="8"/>
      <c r="AC144" s="8"/>
    </row>
    <row r="145" ht="12.75" customHeight="1" spans="1:29" x14ac:dyDescent="0.25">
      <c r="A145" s="8"/>
      <c r="B145" s="8"/>
      <c r="C145" s="8"/>
      <c r="D145" s="8"/>
      <c r="E145" s="8"/>
      <c r="F145" s="8"/>
      <c r="G145" s="8"/>
      <c r="H145" s="675"/>
      <c r="I145" s="675"/>
      <c r="J145" s="675"/>
      <c r="K145" s="675"/>
      <c r="L145" s="675"/>
      <c r="M145" s="675"/>
      <c r="N145" s="675"/>
      <c r="O145" s="675"/>
      <c r="P145" s="675"/>
      <c r="Q145" s="675"/>
      <c r="R145" s="675"/>
      <c r="S145" s="675"/>
      <c r="T145" s="675"/>
      <c r="U145" s="8"/>
      <c r="V145" s="8"/>
      <c r="W145" s="8"/>
      <c r="X145" s="8"/>
      <c r="Y145" s="8"/>
      <c r="Z145" s="8"/>
      <c r="AA145" s="8"/>
      <c r="AB145" s="8"/>
      <c r="AC145" s="8"/>
    </row>
    <row r="146" ht="12.75" customHeight="1" spans="1:29" x14ac:dyDescent="0.25">
      <c r="A146" s="8"/>
      <c r="B146" s="8"/>
      <c r="C146" s="8"/>
      <c r="D146" s="8"/>
      <c r="E146" s="8"/>
      <c r="F146" s="8"/>
      <c r="G146" s="8"/>
      <c r="H146" s="675"/>
      <c r="I146" s="675"/>
      <c r="J146" s="675"/>
      <c r="K146" s="675"/>
      <c r="L146" s="675"/>
      <c r="M146" s="675"/>
      <c r="N146" s="675"/>
      <c r="O146" s="675"/>
      <c r="P146" s="675"/>
      <c r="Q146" s="675"/>
      <c r="R146" s="675"/>
      <c r="S146" s="675"/>
      <c r="T146" s="675"/>
      <c r="U146" s="8"/>
      <c r="V146" s="8"/>
      <c r="W146" s="8"/>
      <c r="X146" s="8"/>
      <c r="Y146" s="8"/>
      <c r="Z146" s="8"/>
      <c r="AA146" s="8"/>
      <c r="AB146" s="8"/>
      <c r="AC146" s="8"/>
    </row>
    <row r="147" ht="12.75" customHeight="1" spans="1:29" x14ac:dyDescent="0.25">
      <c r="A147" s="8"/>
      <c r="B147" s="8"/>
      <c r="C147" s="8"/>
      <c r="D147" s="8"/>
      <c r="E147" s="8"/>
      <c r="F147" s="8"/>
      <c r="G147" s="8"/>
      <c r="H147" s="675"/>
      <c r="I147" s="675"/>
      <c r="J147" s="675"/>
      <c r="K147" s="675"/>
      <c r="L147" s="675"/>
      <c r="M147" s="675"/>
      <c r="N147" s="675"/>
      <c r="O147" s="675"/>
      <c r="P147" s="675"/>
      <c r="Q147" s="675"/>
      <c r="R147" s="675"/>
      <c r="S147" s="675"/>
      <c r="T147" s="675"/>
      <c r="U147" s="8"/>
      <c r="V147" s="8"/>
      <c r="W147" s="8"/>
      <c r="X147" s="8"/>
      <c r="Y147" s="8"/>
      <c r="Z147" s="8"/>
      <c r="AA147" s="8"/>
      <c r="AB147" s="8"/>
      <c r="AC147" s="8"/>
    </row>
    <row r="148" ht="12.75" customHeight="1" spans="1:29" x14ac:dyDescent="0.25">
      <c r="A148" s="8"/>
      <c r="B148" s="8"/>
      <c r="C148" s="8"/>
      <c r="D148" s="8"/>
      <c r="E148" s="8"/>
      <c r="F148" s="8"/>
      <c r="G148" s="8"/>
      <c r="H148" s="675"/>
      <c r="I148" s="675"/>
      <c r="J148" s="675"/>
      <c r="K148" s="675"/>
      <c r="L148" s="675"/>
      <c r="M148" s="675"/>
      <c r="N148" s="675"/>
      <c r="O148" s="675"/>
      <c r="P148" s="675"/>
      <c r="Q148" s="675"/>
      <c r="R148" s="675"/>
      <c r="S148" s="675"/>
      <c r="T148" s="675"/>
      <c r="U148" s="8"/>
      <c r="V148" s="8"/>
      <c r="W148" s="8"/>
      <c r="X148" s="8"/>
      <c r="Y148" s="8"/>
      <c r="Z148" s="8"/>
      <c r="AA148" s="8"/>
      <c r="AB148" s="8"/>
      <c r="AC148" s="8"/>
    </row>
    <row r="149" ht="12.75" customHeight="1" spans="1:29" x14ac:dyDescent="0.25">
      <c r="A149" s="8"/>
      <c r="B149" s="8"/>
      <c r="C149" s="8"/>
      <c r="D149" s="8"/>
      <c r="E149" s="8"/>
      <c r="F149" s="8"/>
      <c r="G149" s="8"/>
      <c r="H149" s="675"/>
      <c r="I149" s="675"/>
      <c r="J149" s="675"/>
      <c r="K149" s="675"/>
      <c r="L149" s="675"/>
      <c r="M149" s="675"/>
      <c r="N149" s="675"/>
      <c r="O149" s="675"/>
      <c r="P149" s="675"/>
      <c r="Q149" s="675"/>
      <c r="R149" s="675"/>
      <c r="S149" s="675"/>
      <c r="T149" s="675"/>
      <c r="U149" s="8"/>
      <c r="V149" s="8"/>
      <c r="W149" s="8"/>
      <c r="X149" s="8"/>
      <c r="Y149" s="8"/>
      <c r="Z149" s="8"/>
      <c r="AA149" s="8"/>
      <c r="AB149" s="8"/>
      <c r="AC149" s="8"/>
    </row>
    <row r="150" ht="12.75" customHeight="1" spans="1:29" x14ac:dyDescent="0.25">
      <c r="A150" s="8"/>
      <c r="B150" s="8"/>
      <c r="C150" s="8"/>
      <c r="D150" s="8"/>
      <c r="E150" s="8"/>
      <c r="F150" s="8"/>
      <c r="G150" s="8"/>
      <c r="H150" s="675"/>
      <c r="I150" s="675"/>
      <c r="J150" s="675"/>
      <c r="K150" s="675"/>
      <c r="L150" s="675"/>
      <c r="M150" s="675"/>
      <c r="N150" s="675"/>
      <c r="O150" s="675"/>
      <c r="P150" s="675"/>
      <c r="Q150" s="675"/>
      <c r="R150" s="675"/>
      <c r="S150" s="675"/>
      <c r="T150" s="675"/>
      <c r="U150" s="8"/>
      <c r="V150" s="8"/>
      <c r="W150" s="8"/>
      <c r="X150" s="8"/>
      <c r="Y150" s="8"/>
      <c r="Z150" s="8"/>
      <c r="AA150" s="8"/>
      <c r="AB150" s="8"/>
      <c r="AC150" s="8"/>
    </row>
    <row r="151" ht="12.75" customHeight="1" spans="1:29" x14ac:dyDescent="0.25">
      <c r="A151" s="8"/>
      <c r="B151" s="8"/>
      <c r="C151" s="8"/>
      <c r="D151" s="8"/>
      <c r="E151" s="8"/>
      <c r="F151" s="8"/>
      <c r="G151" s="8"/>
      <c r="H151" s="675"/>
      <c r="I151" s="675"/>
      <c r="J151" s="675"/>
      <c r="K151" s="675"/>
      <c r="L151" s="675"/>
      <c r="M151" s="675"/>
      <c r="N151" s="675"/>
      <c r="O151" s="675"/>
      <c r="P151" s="675"/>
      <c r="Q151" s="675"/>
      <c r="R151" s="675"/>
      <c r="S151" s="675"/>
      <c r="T151" s="675"/>
      <c r="U151" s="8"/>
      <c r="V151" s="8"/>
      <c r="W151" s="8"/>
      <c r="X151" s="8"/>
      <c r="Y151" s="8"/>
      <c r="Z151" s="8"/>
      <c r="AA151" s="8"/>
      <c r="AB151" s="8"/>
      <c r="AC151" s="8"/>
    </row>
    <row r="152" ht="12.75" customHeight="1" spans="1:29" x14ac:dyDescent="0.25">
      <c r="A152" s="8"/>
      <c r="B152" s="8"/>
      <c r="C152" s="8"/>
      <c r="D152" s="8"/>
      <c r="E152" s="8"/>
      <c r="F152" s="8"/>
      <c r="G152" s="8"/>
      <c r="H152" s="675"/>
      <c r="I152" s="675"/>
      <c r="J152" s="675"/>
      <c r="K152" s="675"/>
      <c r="L152" s="675"/>
      <c r="M152" s="675"/>
      <c r="N152" s="675"/>
      <c r="O152" s="675"/>
      <c r="P152" s="675"/>
      <c r="Q152" s="675"/>
      <c r="R152" s="675"/>
      <c r="S152" s="675"/>
      <c r="T152" s="675"/>
      <c r="U152" s="8"/>
      <c r="V152" s="8"/>
      <c r="W152" s="8"/>
      <c r="X152" s="8"/>
      <c r="Y152" s="8"/>
      <c r="Z152" s="8"/>
      <c r="AA152" s="8"/>
      <c r="AB152" s="8"/>
      <c r="AC152" s="8"/>
    </row>
    <row r="153" ht="12.75" customHeight="1" spans="1:29" x14ac:dyDescent="0.25">
      <c r="A153" s="8"/>
      <c r="B153" s="8"/>
      <c r="C153" s="8"/>
      <c r="D153" s="8"/>
      <c r="E153" s="8"/>
      <c r="F153" s="8"/>
      <c r="G153" s="8"/>
      <c r="H153" s="675"/>
      <c r="I153" s="675"/>
      <c r="J153" s="675"/>
      <c r="K153" s="675"/>
      <c r="L153" s="675"/>
      <c r="M153" s="675"/>
      <c r="N153" s="675"/>
      <c r="O153" s="675"/>
      <c r="P153" s="675"/>
      <c r="Q153" s="675"/>
      <c r="R153" s="675"/>
      <c r="S153" s="675"/>
      <c r="T153" s="675"/>
      <c r="U153" s="8"/>
      <c r="V153" s="8"/>
      <c r="W153" s="8"/>
      <c r="X153" s="8"/>
      <c r="Y153" s="8"/>
      <c r="Z153" s="8"/>
      <c r="AA153" s="8"/>
      <c r="AB153" s="8"/>
      <c r="AC153" s="8"/>
    </row>
    <row r="154" ht="12.75" customHeight="1" spans="1:29" x14ac:dyDescent="0.25">
      <c r="A154" s="8"/>
      <c r="B154" s="8"/>
      <c r="C154" s="8"/>
      <c r="D154" s="8"/>
      <c r="E154" s="8"/>
      <c r="F154" s="8"/>
      <c r="G154" s="8"/>
      <c r="H154" s="675"/>
      <c r="I154" s="675"/>
      <c r="J154" s="675"/>
      <c r="K154" s="675"/>
      <c r="L154" s="675"/>
      <c r="M154" s="675"/>
      <c r="N154" s="675"/>
      <c r="O154" s="675"/>
      <c r="P154" s="675"/>
      <c r="Q154" s="675"/>
      <c r="R154" s="675"/>
      <c r="S154" s="675"/>
      <c r="T154" s="675"/>
      <c r="U154" s="8"/>
      <c r="V154" s="8"/>
      <c r="W154" s="8"/>
      <c r="X154" s="8"/>
      <c r="Y154" s="8"/>
      <c r="Z154" s="8"/>
      <c r="AA154" s="8"/>
      <c r="AB154" s="8"/>
      <c r="AC154" s="8"/>
    </row>
    <row r="155" ht="12.75" customHeight="1" spans="1:29" x14ac:dyDescent="0.25">
      <c r="A155" s="8"/>
      <c r="B155" s="8"/>
      <c r="C155" s="8"/>
      <c r="D155" s="8"/>
      <c r="E155" s="8"/>
      <c r="F155" s="8"/>
      <c r="G155" s="8"/>
      <c r="H155" s="675"/>
      <c r="I155" s="675"/>
      <c r="J155" s="675"/>
      <c r="K155" s="675"/>
      <c r="L155" s="675"/>
      <c r="M155" s="675"/>
      <c r="N155" s="675"/>
      <c r="O155" s="675"/>
      <c r="P155" s="675"/>
      <c r="Q155" s="675"/>
      <c r="R155" s="675"/>
      <c r="S155" s="675"/>
      <c r="T155" s="675"/>
      <c r="U155" s="8"/>
      <c r="V155" s="8"/>
      <c r="W155" s="8"/>
      <c r="X155" s="8"/>
      <c r="Y155" s="8"/>
      <c r="Z155" s="8"/>
      <c r="AA155" s="8"/>
      <c r="AB155" s="8"/>
      <c r="AC155" s="8"/>
    </row>
    <row r="156" ht="12.75" customHeight="1" spans="1:29" x14ac:dyDescent="0.25">
      <c r="A156" s="8"/>
      <c r="B156" s="8"/>
      <c r="C156" s="8"/>
      <c r="D156" s="8"/>
      <c r="E156" s="8"/>
      <c r="F156" s="8"/>
      <c r="G156" s="8"/>
      <c r="H156" s="675"/>
      <c r="I156" s="675"/>
      <c r="J156" s="675"/>
      <c r="K156" s="675"/>
      <c r="L156" s="675"/>
      <c r="M156" s="675"/>
      <c r="N156" s="675"/>
      <c r="O156" s="675"/>
      <c r="P156" s="675"/>
      <c r="Q156" s="675"/>
      <c r="R156" s="675"/>
      <c r="S156" s="675"/>
      <c r="T156" s="675"/>
      <c r="U156" s="8"/>
      <c r="V156" s="8"/>
      <c r="W156" s="8"/>
      <c r="X156" s="8"/>
      <c r="Y156" s="8"/>
      <c r="Z156" s="8"/>
      <c r="AA156" s="8"/>
      <c r="AB156" s="8"/>
      <c r="AC156" s="8"/>
    </row>
    <row r="157" ht="12.75" customHeight="1" spans="1:29" x14ac:dyDescent="0.25">
      <c r="A157" s="8"/>
      <c r="B157" s="8"/>
      <c r="C157" s="8"/>
      <c r="D157" s="8"/>
      <c r="E157" s="8"/>
      <c r="F157" s="8"/>
      <c r="G157" s="8"/>
      <c r="H157" s="675"/>
      <c r="I157" s="675"/>
      <c r="J157" s="675"/>
      <c r="K157" s="675"/>
      <c r="L157" s="675"/>
      <c r="M157" s="675"/>
      <c r="N157" s="675"/>
      <c r="O157" s="675"/>
      <c r="P157" s="675"/>
      <c r="Q157" s="675"/>
      <c r="R157" s="675"/>
      <c r="S157" s="675"/>
      <c r="T157" s="675"/>
      <c r="U157" s="8"/>
      <c r="V157" s="8"/>
      <c r="W157" s="8"/>
      <c r="X157" s="8"/>
      <c r="Y157" s="8"/>
      <c r="Z157" s="8"/>
      <c r="AA157" s="8"/>
      <c r="AB157" s="8"/>
      <c r="AC157" s="8"/>
    </row>
    <row r="158" ht="12.75" customHeight="1" spans="1:29" x14ac:dyDescent="0.25">
      <c r="A158" s="8"/>
      <c r="B158" s="8"/>
      <c r="C158" s="8"/>
      <c r="D158" s="8"/>
      <c r="E158" s="8"/>
      <c r="F158" s="8"/>
      <c r="G158" s="8"/>
      <c r="H158" s="675"/>
      <c r="I158" s="675"/>
      <c r="J158" s="675"/>
      <c r="K158" s="675"/>
      <c r="L158" s="675"/>
      <c r="M158" s="675"/>
      <c r="N158" s="675"/>
      <c r="O158" s="675"/>
      <c r="P158" s="675"/>
      <c r="Q158" s="675"/>
      <c r="R158" s="675"/>
      <c r="S158" s="675"/>
      <c r="T158" s="675"/>
      <c r="U158" s="8"/>
      <c r="V158" s="8"/>
      <c r="W158" s="8"/>
      <c r="X158" s="8"/>
      <c r="Y158" s="8"/>
      <c r="Z158" s="8"/>
      <c r="AA158" s="8"/>
      <c r="AB158" s="8"/>
      <c r="AC158" s="8"/>
    </row>
    <row r="159" ht="12.75" customHeight="1" spans="1:29" x14ac:dyDescent="0.25">
      <c r="A159" s="8"/>
      <c r="B159" s="8"/>
      <c r="C159" s="8"/>
      <c r="D159" s="8"/>
      <c r="E159" s="8"/>
      <c r="F159" s="8"/>
      <c r="G159" s="8"/>
      <c r="H159" s="675"/>
      <c r="I159" s="675"/>
      <c r="J159" s="675"/>
      <c r="K159" s="675"/>
      <c r="L159" s="675"/>
      <c r="M159" s="675"/>
      <c r="N159" s="675"/>
      <c r="O159" s="675"/>
      <c r="P159" s="675"/>
      <c r="Q159" s="675"/>
      <c r="R159" s="675"/>
      <c r="S159" s="675"/>
      <c r="T159" s="675"/>
      <c r="U159" s="8"/>
      <c r="V159" s="8"/>
      <c r="W159" s="8"/>
      <c r="X159" s="8"/>
      <c r="Y159" s="8"/>
      <c r="Z159" s="8"/>
      <c r="AA159" s="8"/>
      <c r="AB159" s="8"/>
      <c r="AC159" s="8"/>
    </row>
    <row r="160" ht="12.75" customHeight="1" spans="1:29" x14ac:dyDescent="0.25">
      <c r="A160" s="8"/>
      <c r="B160" s="8"/>
      <c r="C160" s="8"/>
      <c r="D160" s="8"/>
      <c r="E160" s="8"/>
      <c r="F160" s="8"/>
      <c r="G160" s="8"/>
      <c r="H160" s="675"/>
      <c r="I160" s="675"/>
      <c r="J160" s="675"/>
      <c r="K160" s="675"/>
      <c r="L160" s="675"/>
      <c r="M160" s="675"/>
      <c r="N160" s="675"/>
      <c r="O160" s="675"/>
      <c r="P160" s="675"/>
      <c r="Q160" s="675"/>
      <c r="R160" s="675"/>
      <c r="S160" s="675"/>
      <c r="T160" s="675"/>
      <c r="U160" s="8"/>
      <c r="V160" s="8"/>
      <c r="W160" s="8"/>
      <c r="X160" s="8"/>
      <c r="Y160" s="8"/>
      <c r="Z160" s="8"/>
      <c r="AA160" s="8"/>
      <c r="AB160" s="8"/>
      <c r="AC160" s="8"/>
    </row>
    <row r="161" ht="12.75" customHeight="1" spans="1:29" x14ac:dyDescent="0.25">
      <c r="A161" s="8"/>
      <c r="B161" s="8"/>
      <c r="C161" s="8"/>
      <c r="D161" s="8"/>
      <c r="E161" s="8"/>
      <c r="F161" s="8"/>
      <c r="G161" s="8"/>
      <c r="H161" s="675"/>
      <c r="I161" s="675"/>
      <c r="J161" s="675"/>
      <c r="K161" s="675"/>
      <c r="L161" s="675"/>
      <c r="M161" s="675"/>
      <c r="N161" s="675"/>
      <c r="O161" s="675"/>
      <c r="P161" s="675"/>
      <c r="Q161" s="675"/>
      <c r="R161" s="675"/>
      <c r="S161" s="675"/>
      <c r="T161" s="675"/>
      <c r="U161" s="8"/>
      <c r="V161" s="8"/>
      <c r="W161" s="8"/>
      <c r="X161" s="8"/>
      <c r="Y161" s="8"/>
      <c r="Z161" s="8"/>
      <c r="AA161" s="8"/>
      <c r="AB161" s="8"/>
      <c r="AC161" s="8"/>
    </row>
    <row r="162" ht="12.75" customHeight="1" spans="1:29" x14ac:dyDescent="0.25">
      <c r="A162" s="8"/>
      <c r="B162" s="8"/>
      <c r="C162" s="8"/>
      <c r="D162" s="8"/>
      <c r="E162" s="8"/>
      <c r="F162" s="8"/>
      <c r="G162" s="8"/>
      <c r="H162" s="675"/>
      <c r="I162" s="675"/>
      <c r="J162" s="675"/>
      <c r="K162" s="675"/>
      <c r="L162" s="675"/>
      <c r="M162" s="675"/>
      <c r="N162" s="675"/>
      <c r="O162" s="675"/>
      <c r="P162" s="675"/>
      <c r="Q162" s="675"/>
      <c r="R162" s="675"/>
      <c r="S162" s="675"/>
      <c r="T162" s="675"/>
      <c r="U162" s="8"/>
      <c r="V162" s="8"/>
      <c r="W162" s="8"/>
      <c r="X162" s="8"/>
      <c r="Y162" s="8"/>
      <c r="Z162" s="8"/>
      <c r="AA162" s="8"/>
      <c r="AB162" s="8"/>
      <c r="AC162" s="8"/>
    </row>
    <row r="163" ht="12.75" customHeight="1" spans="1:29" x14ac:dyDescent="0.25">
      <c r="A163" s="8"/>
      <c r="B163" s="8"/>
      <c r="C163" s="8"/>
      <c r="D163" s="8"/>
      <c r="E163" s="8"/>
      <c r="F163" s="8"/>
      <c r="G163" s="8"/>
      <c r="H163" s="675"/>
      <c r="I163" s="675"/>
      <c r="J163" s="675"/>
      <c r="K163" s="675"/>
      <c r="L163" s="675"/>
      <c r="M163" s="675"/>
      <c r="N163" s="675"/>
      <c r="O163" s="675"/>
      <c r="P163" s="675"/>
      <c r="Q163" s="675"/>
      <c r="R163" s="675"/>
      <c r="S163" s="675"/>
      <c r="T163" s="675"/>
      <c r="U163" s="8"/>
      <c r="V163" s="8"/>
      <c r="W163" s="8"/>
      <c r="X163" s="8"/>
      <c r="Y163" s="8"/>
      <c r="Z163" s="8"/>
      <c r="AA163" s="8"/>
      <c r="AB163" s="8"/>
      <c r="AC163" s="8"/>
    </row>
    <row r="164" ht="12.75" customHeight="1" spans="1:29" x14ac:dyDescent="0.25">
      <c r="A164" s="8"/>
      <c r="B164" s="8"/>
      <c r="C164" s="8"/>
      <c r="D164" s="8"/>
      <c r="E164" s="8"/>
      <c r="F164" s="8"/>
      <c r="G164" s="8"/>
      <c r="H164" s="675"/>
      <c r="I164" s="675"/>
      <c r="J164" s="675"/>
      <c r="K164" s="675"/>
      <c r="L164" s="675"/>
      <c r="M164" s="675"/>
      <c r="N164" s="675"/>
      <c r="O164" s="675"/>
      <c r="P164" s="675"/>
      <c r="Q164" s="675"/>
      <c r="R164" s="675"/>
      <c r="S164" s="675"/>
      <c r="T164" s="675"/>
      <c r="U164" s="8"/>
      <c r="V164" s="8"/>
      <c r="W164" s="8"/>
      <c r="X164" s="8"/>
      <c r="Y164" s="8"/>
      <c r="Z164" s="8"/>
      <c r="AA164" s="8"/>
      <c r="AB164" s="8"/>
      <c r="AC164" s="8"/>
    </row>
    <row r="165" ht="12.75" customHeight="1" spans="1:29" x14ac:dyDescent="0.25">
      <c r="A165" s="8"/>
      <c r="B165" s="8"/>
      <c r="C165" s="8"/>
      <c r="D165" s="8"/>
      <c r="E165" s="8"/>
      <c r="F165" s="8"/>
      <c r="G165" s="8"/>
      <c r="H165" s="675"/>
      <c r="I165" s="675"/>
      <c r="J165" s="675"/>
      <c r="K165" s="675"/>
      <c r="L165" s="675"/>
      <c r="M165" s="675"/>
      <c r="N165" s="675"/>
      <c r="O165" s="675"/>
      <c r="P165" s="675"/>
      <c r="Q165" s="675"/>
      <c r="R165" s="675"/>
      <c r="S165" s="675"/>
      <c r="T165" s="675"/>
      <c r="U165" s="8"/>
      <c r="V165" s="8"/>
      <c r="W165" s="8"/>
      <c r="X165" s="8"/>
      <c r="Y165" s="8"/>
      <c r="Z165" s="8"/>
      <c r="AA165" s="8"/>
      <c r="AB165" s="8"/>
      <c r="AC165" s="8"/>
    </row>
    <row r="166" ht="12.75" customHeight="1" spans="1:29" x14ac:dyDescent="0.25">
      <c r="A166" s="8"/>
      <c r="B166" s="8"/>
      <c r="C166" s="8"/>
      <c r="D166" s="8"/>
      <c r="E166" s="8"/>
      <c r="F166" s="8"/>
      <c r="G166" s="8"/>
      <c r="H166" s="675"/>
      <c r="I166" s="675"/>
      <c r="J166" s="675"/>
      <c r="K166" s="675"/>
      <c r="L166" s="675"/>
      <c r="M166" s="675"/>
      <c r="N166" s="675"/>
      <c r="O166" s="675"/>
      <c r="P166" s="675"/>
      <c r="Q166" s="675"/>
      <c r="R166" s="675"/>
      <c r="S166" s="675"/>
      <c r="T166" s="675"/>
      <c r="U166" s="8"/>
      <c r="V166" s="8"/>
      <c r="W166" s="8"/>
      <c r="X166" s="8"/>
      <c r="Y166" s="8"/>
      <c r="Z166" s="8"/>
      <c r="AA166" s="8"/>
      <c r="AB166" s="8"/>
      <c r="AC166" s="8"/>
    </row>
    <row r="167" ht="12.75" customHeight="1" spans="1:29" x14ac:dyDescent="0.25">
      <c r="A167" s="8"/>
      <c r="B167" s="8"/>
      <c r="C167" s="8"/>
      <c r="D167" s="8"/>
      <c r="E167" s="8"/>
      <c r="F167" s="8"/>
      <c r="G167" s="8"/>
      <c r="H167" s="675"/>
      <c r="I167" s="675"/>
      <c r="J167" s="675"/>
      <c r="K167" s="675"/>
      <c r="L167" s="675"/>
      <c r="M167" s="675"/>
      <c r="N167" s="675"/>
      <c r="O167" s="675"/>
      <c r="P167" s="675"/>
      <c r="Q167" s="675"/>
      <c r="R167" s="675"/>
      <c r="S167" s="675"/>
      <c r="T167" s="675"/>
      <c r="U167" s="8"/>
      <c r="V167" s="8"/>
      <c r="W167" s="8"/>
      <c r="X167" s="8"/>
      <c r="Y167" s="8"/>
      <c r="Z167" s="8"/>
      <c r="AA167" s="8"/>
      <c r="AB167" s="8"/>
      <c r="AC167" s="8"/>
    </row>
    <row r="168" ht="12.75" customHeight="1" spans="1:29" x14ac:dyDescent="0.25">
      <c r="A168" s="8"/>
      <c r="B168" s="8"/>
      <c r="C168" s="8"/>
      <c r="D168" s="8"/>
      <c r="E168" s="8"/>
      <c r="F168" s="8"/>
      <c r="G168" s="8"/>
      <c r="H168" s="675"/>
      <c r="I168" s="675"/>
      <c r="J168" s="675"/>
      <c r="K168" s="675"/>
      <c r="L168" s="675"/>
      <c r="M168" s="675"/>
      <c r="N168" s="675"/>
      <c r="O168" s="675"/>
      <c r="P168" s="675"/>
      <c r="Q168" s="675"/>
      <c r="R168" s="675"/>
      <c r="S168" s="675"/>
      <c r="T168" s="675"/>
      <c r="U168" s="8"/>
      <c r="V168" s="8"/>
      <c r="W168" s="8"/>
      <c r="X168" s="8"/>
      <c r="Y168" s="8"/>
      <c r="Z168" s="8"/>
      <c r="AA168" s="8"/>
      <c r="AB168" s="8"/>
      <c r="AC168" s="8"/>
    </row>
    <row r="169" ht="12.75" customHeight="1" spans="1:29" x14ac:dyDescent="0.25">
      <c r="A169" s="8"/>
      <c r="B169" s="8"/>
      <c r="C169" s="8"/>
      <c r="D169" s="8"/>
      <c r="E169" s="8"/>
      <c r="F169" s="8"/>
      <c r="G169" s="8"/>
      <c r="H169" s="675"/>
      <c r="I169" s="675"/>
      <c r="J169" s="675"/>
      <c r="K169" s="675"/>
      <c r="L169" s="675"/>
      <c r="M169" s="675"/>
      <c r="N169" s="675"/>
      <c r="O169" s="675"/>
      <c r="P169" s="675"/>
      <c r="Q169" s="675"/>
      <c r="R169" s="675"/>
      <c r="S169" s="675"/>
      <c r="T169" s="675"/>
      <c r="U169" s="8"/>
      <c r="V169" s="8"/>
      <c r="W169" s="8"/>
      <c r="X169" s="8"/>
      <c r="Y169" s="8"/>
      <c r="Z169" s="8"/>
      <c r="AA169" s="8"/>
      <c r="AB169" s="8"/>
      <c r="AC169" s="8"/>
    </row>
    <row r="170" ht="12.75" customHeight="1" spans="1:29" x14ac:dyDescent="0.25">
      <c r="A170" s="8"/>
      <c r="B170" s="8"/>
      <c r="C170" s="8"/>
      <c r="D170" s="8"/>
      <c r="E170" s="8"/>
      <c r="F170" s="8"/>
      <c r="G170" s="8"/>
      <c r="H170" s="675"/>
      <c r="I170" s="675"/>
      <c r="J170" s="675"/>
      <c r="K170" s="675"/>
      <c r="L170" s="675"/>
      <c r="M170" s="675"/>
      <c r="N170" s="675"/>
      <c r="O170" s="675"/>
      <c r="P170" s="675"/>
      <c r="Q170" s="675"/>
      <c r="R170" s="675"/>
      <c r="S170" s="675"/>
      <c r="T170" s="675"/>
      <c r="U170" s="8"/>
      <c r="V170" s="8"/>
      <c r="W170" s="8"/>
      <c r="X170" s="8"/>
      <c r="Y170" s="8"/>
      <c r="Z170" s="8"/>
      <c r="AA170" s="8"/>
      <c r="AB170" s="8"/>
      <c r="AC170" s="8"/>
    </row>
    <row r="171" ht="12.75" customHeight="1" spans="1:29" x14ac:dyDescent="0.25">
      <c r="A171" s="8"/>
      <c r="B171" s="8"/>
      <c r="C171" s="8"/>
      <c r="D171" s="8"/>
      <c r="E171" s="8"/>
      <c r="F171" s="8"/>
      <c r="G171" s="8"/>
      <c r="H171" s="675"/>
      <c r="I171" s="675"/>
      <c r="J171" s="675"/>
      <c r="K171" s="675"/>
      <c r="L171" s="675"/>
      <c r="M171" s="675"/>
      <c r="N171" s="675"/>
      <c r="O171" s="675"/>
      <c r="P171" s="675"/>
      <c r="Q171" s="675"/>
      <c r="R171" s="675"/>
      <c r="S171" s="675"/>
      <c r="T171" s="675"/>
      <c r="U171" s="8"/>
      <c r="V171" s="8"/>
      <c r="W171" s="8"/>
      <c r="X171" s="8"/>
      <c r="Y171" s="8"/>
      <c r="Z171" s="8"/>
      <c r="AA171" s="8"/>
      <c r="AB171" s="8"/>
      <c r="AC171" s="8"/>
    </row>
    <row r="172" ht="12.75" customHeight="1" spans="1:29" x14ac:dyDescent="0.25">
      <c r="A172" s="8"/>
      <c r="B172" s="8"/>
      <c r="C172" s="8"/>
      <c r="D172" s="8"/>
      <c r="E172" s="8"/>
      <c r="F172" s="8"/>
      <c r="G172" s="8"/>
      <c r="H172" s="675"/>
      <c r="I172" s="675"/>
      <c r="J172" s="675"/>
      <c r="K172" s="675"/>
      <c r="L172" s="675"/>
      <c r="M172" s="675"/>
      <c r="N172" s="675"/>
      <c r="O172" s="675"/>
      <c r="P172" s="675"/>
      <c r="Q172" s="675"/>
      <c r="R172" s="675"/>
      <c r="S172" s="675"/>
      <c r="T172" s="675"/>
      <c r="U172" s="8"/>
      <c r="V172" s="8"/>
      <c r="W172" s="8"/>
      <c r="X172" s="8"/>
      <c r="Y172" s="8"/>
      <c r="Z172" s="8"/>
      <c r="AA172" s="8"/>
      <c r="AB172" s="8"/>
      <c r="AC172" s="8"/>
    </row>
    <row r="173" ht="12.75" customHeight="1" spans="1:29" x14ac:dyDescent="0.25">
      <c r="A173" s="8"/>
      <c r="B173" s="8"/>
      <c r="C173" s="8"/>
      <c r="D173" s="8"/>
      <c r="E173" s="8"/>
      <c r="F173" s="8"/>
      <c r="G173" s="8"/>
      <c r="H173" s="675"/>
      <c r="I173" s="675"/>
      <c r="J173" s="675"/>
      <c r="K173" s="675"/>
      <c r="L173" s="675"/>
      <c r="M173" s="675"/>
      <c r="N173" s="675"/>
      <c r="O173" s="675"/>
      <c r="P173" s="675"/>
      <c r="Q173" s="675"/>
      <c r="R173" s="675"/>
      <c r="S173" s="675"/>
      <c r="T173" s="675"/>
      <c r="U173" s="8"/>
      <c r="V173" s="8"/>
      <c r="W173" s="8"/>
      <c r="X173" s="8"/>
      <c r="Y173" s="8"/>
      <c r="Z173" s="8"/>
      <c r="AA173" s="8"/>
      <c r="AB173" s="8"/>
      <c r="AC173" s="8"/>
    </row>
    <row r="174" ht="12.75" customHeight="1" spans="1:29" x14ac:dyDescent="0.25">
      <c r="A174" s="8"/>
      <c r="B174" s="8"/>
      <c r="C174" s="8"/>
      <c r="D174" s="8"/>
      <c r="E174" s="8"/>
      <c r="F174" s="8"/>
      <c r="G174" s="8"/>
      <c r="H174" s="675"/>
      <c r="I174" s="675"/>
      <c r="J174" s="675"/>
      <c r="K174" s="675"/>
      <c r="L174" s="675"/>
      <c r="M174" s="675"/>
      <c r="N174" s="675"/>
      <c r="O174" s="675"/>
      <c r="P174" s="675"/>
      <c r="Q174" s="675"/>
      <c r="R174" s="675"/>
      <c r="S174" s="675"/>
      <c r="T174" s="675"/>
      <c r="U174" s="8"/>
      <c r="V174" s="8"/>
      <c r="W174" s="8"/>
      <c r="X174" s="8"/>
      <c r="Y174" s="8"/>
      <c r="Z174" s="8"/>
      <c r="AA174" s="8"/>
      <c r="AB174" s="8"/>
      <c r="AC174" s="8"/>
    </row>
    <row r="175" ht="12.75" customHeight="1" spans="1:29" x14ac:dyDescent="0.25">
      <c r="A175" s="8"/>
      <c r="B175" s="8"/>
      <c r="C175" s="8"/>
      <c r="D175" s="8"/>
      <c r="E175" s="8"/>
      <c r="F175" s="8"/>
      <c r="G175" s="8"/>
      <c r="H175" s="675"/>
      <c r="I175" s="675"/>
      <c r="J175" s="675"/>
      <c r="K175" s="675"/>
      <c r="L175" s="675"/>
      <c r="M175" s="675"/>
      <c r="N175" s="675"/>
      <c r="O175" s="675"/>
      <c r="P175" s="675"/>
      <c r="Q175" s="675"/>
      <c r="R175" s="675"/>
      <c r="S175" s="675"/>
      <c r="T175" s="675"/>
      <c r="U175" s="8"/>
      <c r="V175" s="8"/>
      <c r="W175" s="8"/>
      <c r="X175" s="8"/>
      <c r="Y175" s="8"/>
      <c r="Z175" s="8"/>
      <c r="AA175" s="8"/>
      <c r="AB175" s="8"/>
      <c r="AC175" s="8"/>
    </row>
    <row r="176" ht="12.75" customHeight="1" spans="1:29" x14ac:dyDescent="0.25">
      <c r="A176" s="8"/>
      <c r="B176" s="8"/>
      <c r="C176" s="8"/>
      <c r="D176" s="8"/>
      <c r="E176" s="8"/>
      <c r="F176" s="8"/>
      <c r="G176" s="8"/>
      <c r="H176" s="675"/>
      <c r="I176" s="675"/>
      <c r="J176" s="675"/>
      <c r="K176" s="675"/>
      <c r="L176" s="675"/>
      <c r="M176" s="675"/>
      <c r="N176" s="675"/>
      <c r="O176" s="675"/>
      <c r="P176" s="675"/>
      <c r="Q176" s="675"/>
      <c r="R176" s="675"/>
      <c r="S176" s="675"/>
      <c r="T176" s="675"/>
      <c r="U176" s="8"/>
      <c r="V176" s="8"/>
      <c r="W176" s="8"/>
      <c r="X176" s="8"/>
      <c r="Y176" s="8"/>
      <c r="Z176" s="8"/>
      <c r="AA176" s="8"/>
      <c r="AB176" s="8"/>
      <c r="AC176" s="8"/>
    </row>
    <row r="177" ht="12.75" customHeight="1" spans="1:29" x14ac:dyDescent="0.25">
      <c r="A177" s="8"/>
      <c r="B177" s="8"/>
      <c r="C177" s="8"/>
      <c r="D177" s="8"/>
      <c r="E177" s="8"/>
      <c r="F177" s="8"/>
      <c r="G177" s="8"/>
      <c r="H177" s="675"/>
      <c r="I177" s="675"/>
      <c r="J177" s="675"/>
      <c r="K177" s="675"/>
      <c r="L177" s="675"/>
      <c r="M177" s="675"/>
      <c r="N177" s="675"/>
      <c r="O177" s="675"/>
      <c r="P177" s="675"/>
      <c r="Q177" s="675"/>
      <c r="R177" s="675"/>
      <c r="S177" s="675"/>
      <c r="T177" s="675"/>
      <c r="U177" s="8"/>
      <c r="V177" s="8"/>
      <c r="W177" s="8"/>
      <c r="X177" s="8"/>
      <c r="Y177" s="8"/>
      <c r="Z177" s="8"/>
      <c r="AA177" s="8"/>
      <c r="AB177" s="8"/>
      <c r="AC177" s="8"/>
    </row>
    <row r="178" ht="12.75" customHeight="1" spans="1:29" x14ac:dyDescent="0.25">
      <c r="A178" s="8"/>
      <c r="B178" s="8"/>
      <c r="C178" s="8"/>
      <c r="D178" s="8"/>
      <c r="E178" s="8"/>
      <c r="F178" s="8"/>
      <c r="G178" s="8"/>
      <c r="H178" s="675"/>
      <c r="I178" s="675"/>
      <c r="J178" s="675"/>
      <c r="K178" s="675"/>
      <c r="L178" s="675"/>
      <c r="M178" s="675"/>
      <c r="N178" s="675"/>
      <c r="O178" s="675"/>
      <c r="P178" s="675"/>
      <c r="Q178" s="675"/>
      <c r="R178" s="675"/>
      <c r="S178" s="675"/>
      <c r="T178" s="675"/>
      <c r="U178" s="8"/>
      <c r="V178" s="8"/>
      <c r="W178" s="8"/>
      <c r="X178" s="8"/>
      <c r="Y178" s="8"/>
      <c r="Z178" s="8"/>
      <c r="AA178" s="8"/>
      <c r="AB178" s="8"/>
      <c r="AC178" s="8"/>
    </row>
    <row r="179" ht="12.75" customHeight="1" spans="1:29" x14ac:dyDescent="0.25">
      <c r="A179" s="8"/>
      <c r="B179" s="8"/>
      <c r="C179" s="8"/>
      <c r="D179" s="8"/>
      <c r="E179" s="8"/>
      <c r="F179" s="8"/>
      <c r="G179" s="8"/>
      <c r="H179" s="675"/>
      <c r="I179" s="675"/>
      <c r="J179" s="675"/>
      <c r="K179" s="675"/>
      <c r="L179" s="675"/>
      <c r="M179" s="675"/>
      <c r="N179" s="675"/>
      <c r="O179" s="675"/>
      <c r="P179" s="675"/>
      <c r="Q179" s="675"/>
      <c r="R179" s="675"/>
      <c r="S179" s="675"/>
      <c r="T179" s="675"/>
      <c r="U179" s="8"/>
      <c r="V179" s="8"/>
      <c r="W179" s="8"/>
      <c r="X179" s="8"/>
      <c r="Y179" s="8"/>
      <c r="Z179" s="8"/>
      <c r="AA179" s="8"/>
      <c r="AB179" s="8"/>
      <c r="AC179" s="8"/>
    </row>
    <row r="180" ht="12.75" customHeight="1" spans="1:29" x14ac:dyDescent="0.25">
      <c r="A180" s="8"/>
      <c r="B180" s="8"/>
      <c r="C180" s="8"/>
      <c r="D180" s="8"/>
      <c r="E180" s="8"/>
      <c r="F180" s="8"/>
      <c r="G180" s="8"/>
      <c r="H180" s="675"/>
      <c r="I180" s="675"/>
      <c r="J180" s="675"/>
      <c r="K180" s="675"/>
      <c r="L180" s="675"/>
      <c r="M180" s="675"/>
      <c r="N180" s="675"/>
      <c r="O180" s="675"/>
      <c r="P180" s="675"/>
      <c r="Q180" s="675"/>
      <c r="R180" s="675"/>
      <c r="S180" s="675"/>
      <c r="T180" s="675"/>
      <c r="U180" s="8"/>
      <c r="V180" s="8"/>
      <c r="W180" s="8"/>
      <c r="X180" s="8"/>
      <c r="Y180" s="8"/>
      <c r="Z180" s="8"/>
      <c r="AA180" s="8"/>
      <c r="AB180" s="8"/>
      <c r="AC180" s="8"/>
    </row>
    <row r="181" ht="12.75" customHeight="1" spans="1:29" x14ac:dyDescent="0.25">
      <c r="A181" s="8"/>
      <c r="B181" s="8"/>
      <c r="C181" s="8"/>
      <c r="D181" s="8"/>
      <c r="E181" s="8"/>
      <c r="F181" s="8"/>
      <c r="G181" s="8"/>
      <c r="H181" s="675"/>
      <c r="I181" s="675"/>
      <c r="J181" s="675"/>
      <c r="K181" s="675"/>
      <c r="L181" s="675"/>
      <c r="M181" s="675"/>
      <c r="N181" s="675"/>
      <c r="O181" s="675"/>
      <c r="P181" s="675"/>
      <c r="Q181" s="675"/>
      <c r="R181" s="675"/>
      <c r="S181" s="675"/>
      <c r="T181" s="675"/>
      <c r="U181" s="8"/>
      <c r="V181" s="8"/>
      <c r="W181" s="8"/>
      <c r="X181" s="8"/>
      <c r="Y181" s="8"/>
      <c r="Z181" s="8"/>
      <c r="AA181" s="8"/>
      <c r="AB181" s="8"/>
      <c r="AC181" s="8"/>
    </row>
    <row r="182" ht="12.75" customHeight="1" spans="1:29" x14ac:dyDescent="0.25">
      <c r="A182" s="8"/>
      <c r="B182" s="8"/>
      <c r="C182" s="8"/>
      <c r="D182" s="8"/>
      <c r="E182" s="8"/>
      <c r="F182" s="8"/>
      <c r="G182" s="8"/>
      <c r="H182" s="675"/>
      <c r="I182" s="675"/>
      <c r="J182" s="675"/>
      <c r="K182" s="675"/>
      <c r="L182" s="675"/>
      <c r="M182" s="675"/>
      <c r="N182" s="675"/>
      <c r="O182" s="675"/>
      <c r="P182" s="675"/>
      <c r="Q182" s="675"/>
      <c r="R182" s="675"/>
      <c r="S182" s="675"/>
      <c r="T182" s="675"/>
      <c r="U182" s="8"/>
      <c r="V182" s="8"/>
      <c r="W182" s="8"/>
      <c r="X182" s="8"/>
      <c r="Y182" s="8"/>
      <c r="Z182" s="8"/>
      <c r="AA182" s="8"/>
      <c r="AB182" s="8"/>
      <c r="AC182" s="8"/>
    </row>
    <row r="183" ht="12.75" customHeight="1" spans="1:29" x14ac:dyDescent="0.25">
      <c r="A183" s="8"/>
      <c r="B183" s="8"/>
      <c r="C183" s="8"/>
      <c r="D183" s="8"/>
      <c r="E183" s="8"/>
      <c r="F183" s="8"/>
      <c r="G183" s="8"/>
      <c r="H183" s="675"/>
      <c r="I183" s="675"/>
      <c r="J183" s="675"/>
      <c r="K183" s="675"/>
      <c r="L183" s="675"/>
      <c r="M183" s="675"/>
      <c r="N183" s="675"/>
      <c r="O183" s="675"/>
      <c r="P183" s="675"/>
      <c r="Q183" s="675"/>
      <c r="R183" s="675"/>
      <c r="S183" s="675"/>
      <c r="T183" s="675"/>
      <c r="U183" s="8"/>
      <c r="V183" s="8"/>
      <c r="W183" s="8"/>
      <c r="X183" s="8"/>
      <c r="Y183" s="8"/>
      <c r="Z183" s="8"/>
      <c r="AA183" s="8"/>
      <c r="AB183" s="8"/>
      <c r="AC183" s="8"/>
    </row>
    <row r="184" ht="12.75" customHeight="1" spans="1:29" x14ac:dyDescent="0.25">
      <c r="A184" s="8"/>
      <c r="B184" s="8"/>
      <c r="C184" s="8"/>
      <c r="D184" s="8"/>
      <c r="E184" s="8"/>
      <c r="F184" s="8"/>
      <c r="G184" s="8"/>
      <c r="H184" s="675"/>
      <c r="I184" s="675"/>
      <c r="J184" s="675"/>
      <c r="K184" s="675"/>
      <c r="L184" s="675"/>
      <c r="M184" s="675"/>
      <c r="N184" s="675"/>
      <c r="O184" s="675"/>
      <c r="P184" s="675"/>
      <c r="Q184" s="675"/>
      <c r="R184" s="675"/>
      <c r="S184" s="675"/>
      <c r="T184" s="675"/>
      <c r="U184" s="8"/>
      <c r="V184" s="8"/>
      <c r="W184" s="8"/>
      <c r="X184" s="8"/>
      <c r="Y184" s="8"/>
      <c r="Z184" s="8"/>
      <c r="AA184" s="8"/>
      <c r="AB184" s="8"/>
      <c r="AC184" s="8"/>
    </row>
    <row r="185" ht="12.75" customHeight="1" spans="1:29" x14ac:dyDescent="0.25">
      <c r="A185" s="8"/>
      <c r="B185" s="8"/>
      <c r="C185" s="8"/>
      <c r="D185" s="8"/>
      <c r="E185" s="8"/>
      <c r="F185" s="8"/>
      <c r="G185" s="8"/>
      <c r="H185" s="675"/>
      <c r="I185" s="675"/>
      <c r="J185" s="675"/>
      <c r="K185" s="675"/>
      <c r="L185" s="675"/>
      <c r="M185" s="675"/>
      <c r="N185" s="675"/>
      <c r="O185" s="675"/>
      <c r="P185" s="675"/>
      <c r="Q185" s="675"/>
      <c r="R185" s="675"/>
      <c r="S185" s="675"/>
      <c r="T185" s="675"/>
      <c r="U185" s="8"/>
      <c r="V185" s="8"/>
      <c r="W185" s="8"/>
      <c r="X185" s="8"/>
      <c r="Y185" s="8"/>
      <c r="Z185" s="8"/>
      <c r="AA185" s="8"/>
      <c r="AB185" s="8"/>
      <c r="AC185" s="8"/>
    </row>
    <row r="186" ht="12.75" customHeight="1" spans="1:29" x14ac:dyDescent="0.25">
      <c r="A186" s="8"/>
      <c r="B186" s="8"/>
      <c r="C186" s="8"/>
      <c r="D186" s="8"/>
      <c r="E186" s="8"/>
      <c r="F186" s="8"/>
      <c r="G186" s="8"/>
      <c r="H186" s="675"/>
      <c r="I186" s="675"/>
      <c r="J186" s="675"/>
      <c r="K186" s="675"/>
      <c r="L186" s="675"/>
      <c r="M186" s="675"/>
      <c r="N186" s="675"/>
      <c r="O186" s="675"/>
      <c r="P186" s="675"/>
      <c r="Q186" s="675"/>
      <c r="R186" s="675"/>
      <c r="S186" s="675"/>
      <c r="T186" s="675"/>
      <c r="U186" s="8"/>
      <c r="V186" s="8"/>
      <c r="W186" s="8"/>
      <c r="X186" s="8"/>
      <c r="Y186" s="8"/>
      <c r="Z186" s="8"/>
      <c r="AA186" s="8"/>
      <c r="AB186" s="8"/>
      <c r="AC186" s="8"/>
    </row>
    <row r="187" ht="12.75" customHeight="1" spans="1:29" x14ac:dyDescent="0.25">
      <c r="A187" s="8"/>
      <c r="B187" s="8"/>
      <c r="C187" s="8"/>
      <c r="D187" s="8"/>
      <c r="E187" s="8"/>
      <c r="F187" s="8"/>
      <c r="G187" s="8"/>
      <c r="H187" s="675"/>
      <c r="I187" s="675"/>
      <c r="J187" s="675"/>
      <c r="K187" s="675"/>
      <c r="L187" s="675"/>
      <c r="M187" s="675"/>
      <c r="N187" s="675"/>
      <c r="O187" s="675"/>
      <c r="P187" s="675"/>
      <c r="Q187" s="675"/>
      <c r="R187" s="675"/>
      <c r="S187" s="675"/>
      <c r="T187" s="675"/>
      <c r="U187" s="8"/>
      <c r="V187" s="8"/>
      <c r="W187" s="8"/>
      <c r="X187" s="8"/>
      <c r="Y187" s="8"/>
      <c r="Z187" s="8"/>
      <c r="AA187" s="8"/>
      <c r="AB187" s="8"/>
      <c r="AC187" s="8"/>
    </row>
    <row r="188" ht="12.75" customHeight="1" spans="1:29" x14ac:dyDescent="0.25">
      <c r="A188" s="8"/>
      <c r="B188" s="8"/>
      <c r="C188" s="8"/>
      <c r="D188" s="8"/>
      <c r="E188" s="8"/>
      <c r="F188" s="8"/>
      <c r="G188" s="8"/>
      <c r="H188" s="675"/>
      <c r="I188" s="675"/>
      <c r="J188" s="675"/>
      <c r="K188" s="675"/>
      <c r="L188" s="675"/>
      <c r="M188" s="675"/>
      <c r="N188" s="675"/>
      <c r="O188" s="675"/>
      <c r="P188" s="675"/>
      <c r="Q188" s="675"/>
      <c r="R188" s="675"/>
      <c r="S188" s="675"/>
      <c r="T188" s="675"/>
      <c r="U188" s="8"/>
      <c r="V188" s="8"/>
      <c r="W188" s="8"/>
      <c r="X188" s="8"/>
      <c r="Y188" s="8"/>
      <c r="Z188" s="8"/>
      <c r="AA188" s="8"/>
      <c r="AB188" s="8"/>
      <c r="AC188" s="8"/>
    </row>
    <row r="189" ht="12.75" customHeight="1" spans="1:29" x14ac:dyDescent="0.25">
      <c r="A189" s="8"/>
      <c r="B189" s="8"/>
      <c r="C189" s="8"/>
      <c r="D189" s="8"/>
      <c r="E189" s="8"/>
      <c r="F189" s="8"/>
      <c r="G189" s="8"/>
      <c r="H189" s="675"/>
      <c r="I189" s="675"/>
      <c r="J189" s="675"/>
      <c r="K189" s="675"/>
      <c r="L189" s="675"/>
      <c r="M189" s="675"/>
      <c r="N189" s="675"/>
      <c r="O189" s="675"/>
      <c r="P189" s="675"/>
      <c r="Q189" s="675"/>
      <c r="R189" s="675"/>
      <c r="S189" s="675"/>
      <c r="T189" s="675"/>
      <c r="U189" s="8"/>
      <c r="V189" s="8"/>
      <c r="W189" s="8"/>
      <c r="X189" s="8"/>
      <c r="Y189" s="8"/>
      <c r="Z189" s="8"/>
      <c r="AA189" s="8"/>
      <c r="AB189" s="8"/>
      <c r="AC189" s="8"/>
    </row>
    <row r="190" ht="12.75" customHeight="1" spans="1:29" x14ac:dyDescent="0.25">
      <c r="A190" s="8"/>
      <c r="B190" s="8"/>
      <c r="C190" s="8"/>
      <c r="D190" s="8"/>
      <c r="E190" s="8"/>
      <c r="F190" s="8"/>
      <c r="G190" s="8"/>
      <c r="H190" s="675"/>
      <c r="I190" s="675"/>
      <c r="J190" s="675"/>
      <c r="K190" s="675"/>
      <c r="L190" s="675"/>
      <c r="M190" s="675"/>
      <c r="N190" s="675"/>
      <c r="O190" s="675"/>
      <c r="P190" s="675"/>
      <c r="Q190" s="675"/>
      <c r="R190" s="675"/>
      <c r="S190" s="675"/>
      <c r="T190" s="675"/>
      <c r="U190" s="8"/>
      <c r="V190" s="8"/>
      <c r="W190" s="8"/>
      <c r="X190" s="8"/>
      <c r="Y190" s="8"/>
      <c r="Z190" s="8"/>
      <c r="AA190" s="8"/>
      <c r="AB190" s="8"/>
      <c r="AC190" s="8"/>
    </row>
    <row r="191" ht="12.75" customHeight="1" spans="1:29" x14ac:dyDescent="0.25">
      <c r="A191" s="8"/>
      <c r="B191" s="8"/>
      <c r="C191" s="8"/>
      <c r="D191" s="8"/>
      <c r="E191" s="8"/>
      <c r="F191" s="8"/>
      <c r="G191" s="8"/>
      <c r="H191" s="675"/>
      <c r="I191" s="675"/>
      <c r="J191" s="675"/>
      <c r="K191" s="675"/>
      <c r="L191" s="675"/>
      <c r="M191" s="675"/>
      <c r="N191" s="675"/>
      <c r="O191" s="675"/>
      <c r="P191" s="675"/>
      <c r="Q191" s="675"/>
      <c r="R191" s="675"/>
      <c r="S191" s="675"/>
      <c r="T191" s="675"/>
      <c r="U191" s="8"/>
      <c r="V191" s="8"/>
      <c r="W191" s="8"/>
      <c r="X191" s="8"/>
      <c r="Y191" s="8"/>
      <c r="Z191" s="8"/>
      <c r="AA191" s="8"/>
      <c r="AB191" s="8"/>
      <c r="AC191" s="8"/>
    </row>
    <row r="192" ht="12.75" customHeight="1" spans="1:29" x14ac:dyDescent="0.25">
      <c r="A192" s="8"/>
      <c r="B192" s="8"/>
      <c r="C192" s="8"/>
      <c r="D192" s="8"/>
      <c r="E192" s="8"/>
      <c r="F192" s="8"/>
      <c r="G192" s="8"/>
      <c r="H192" s="675"/>
      <c r="I192" s="675"/>
      <c r="J192" s="675"/>
      <c r="K192" s="675"/>
      <c r="L192" s="675"/>
      <c r="M192" s="675"/>
      <c r="N192" s="675"/>
      <c r="O192" s="675"/>
      <c r="P192" s="675"/>
      <c r="Q192" s="675"/>
      <c r="R192" s="675"/>
      <c r="S192" s="675"/>
      <c r="T192" s="675"/>
      <c r="U192" s="8"/>
      <c r="V192" s="8"/>
      <c r="W192" s="8"/>
      <c r="X192" s="8"/>
      <c r="Y192" s="8"/>
      <c r="Z192" s="8"/>
      <c r="AA192" s="8"/>
      <c r="AB192" s="8"/>
      <c r="AC192" s="8"/>
    </row>
    <row r="193" ht="12.75" customHeight="1" spans="1:29" x14ac:dyDescent="0.25">
      <c r="A193" s="8"/>
      <c r="B193" s="8"/>
      <c r="C193" s="8"/>
      <c r="D193" s="8"/>
      <c r="E193" s="8"/>
      <c r="F193" s="8"/>
      <c r="G193" s="8"/>
      <c r="H193" s="675"/>
      <c r="I193" s="675"/>
      <c r="J193" s="675"/>
      <c r="K193" s="675"/>
      <c r="L193" s="675"/>
      <c r="M193" s="675"/>
      <c r="N193" s="675"/>
      <c r="O193" s="675"/>
      <c r="P193" s="675"/>
      <c r="Q193" s="675"/>
      <c r="R193" s="675"/>
      <c r="S193" s="675"/>
      <c r="T193" s="675"/>
      <c r="U193" s="8"/>
      <c r="V193" s="8"/>
      <c r="W193" s="8"/>
      <c r="X193" s="8"/>
      <c r="Y193" s="8"/>
      <c r="Z193" s="8"/>
      <c r="AA193" s="8"/>
      <c r="AB193" s="8"/>
      <c r="AC193" s="8"/>
    </row>
    <row r="194" ht="12.75" customHeight="1" spans="1:29" x14ac:dyDescent="0.25">
      <c r="A194" s="8"/>
      <c r="B194" s="8"/>
      <c r="C194" s="8"/>
      <c r="D194" s="8"/>
      <c r="E194" s="8"/>
      <c r="F194" s="8"/>
      <c r="G194" s="8"/>
      <c r="H194" s="675"/>
      <c r="I194" s="675"/>
      <c r="J194" s="675"/>
      <c r="K194" s="675"/>
      <c r="L194" s="675"/>
      <c r="M194" s="675"/>
      <c r="N194" s="675"/>
      <c r="O194" s="675"/>
      <c r="P194" s="675"/>
      <c r="Q194" s="675"/>
      <c r="R194" s="675"/>
      <c r="S194" s="675"/>
      <c r="T194" s="675"/>
      <c r="U194" s="8"/>
      <c r="V194" s="8"/>
      <c r="W194" s="8"/>
      <c r="X194" s="8"/>
      <c r="Y194" s="8"/>
      <c r="Z194" s="8"/>
      <c r="AA194" s="8"/>
      <c r="AB194" s="8"/>
      <c r="AC194" s="8"/>
    </row>
    <row r="195" ht="12.75" customHeight="1" spans="1:29" x14ac:dyDescent="0.25">
      <c r="A195" s="8"/>
      <c r="B195" s="8"/>
      <c r="C195" s="8"/>
      <c r="D195" s="8"/>
      <c r="E195" s="8"/>
      <c r="F195" s="8"/>
      <c r="G195" s="8"/>
      <c r="H195" s="675"/>
      <c r="I195" s="675"/>
      <c r="J195" s="675"/>
      <c r="K195" s="675"/>
      <c r="L195" s="675"/>
      <c r="M195" s="675"/>
      <c r="N195" s="675"/>
      <c r="O195" s="675"/>
      <c r="P195" s="675"/>
      <c r="Q195" s="675"/>
      <c r="R195" s="675"/>
      <c r="S195" s="675"/>
      <c r="T195" s="675"/>
      <c r="U195" s="8"/>
      <c r="V195" s="8"/>
      <c r="W195" s="8"/>
      <c r="X195" s="8"/>
      <c r="Y195" s="8"/>
      <c r="Z195" s="8"/>
      <c r="AA195" s="8"/>
      <c r="AB195" s="8"/>
      <c r="AC195" s="8"/>
    </row>
    <row r="196" ht="12.75" customHeight="1" spans="1:29" x14ac:dyDescent="0.25">
      <c r="A196" s="8"/>
      <c r="B196" s="8"/>
      <c r="C196" s="8"/>
      <c r="D196" s="8"/>
      <c r="E196" s="8"/>
      <c r="F196" s="8"/>
      <c r="G196" s="8"/>
      <c r="H196" s="675"/>
      <c r="I196" s="675"/>
      <c r="J196" s="675"/>
      <c r="K196" s="675"/>
      <c r="L196" s="675"/>
      <c r="M196" s="675"/>
      <c r="N196" s="675"/>
      <c r="O196" s="675"/>
      <c r="P196" s="675"/>
      <c r="Q196" s="675"/>
      <c r="R196" s="675"/>
      <c r="S196" s="675"/>
      <c r="T196" s="675"/>
      <c r="U196" s="8"/>
      <c r="V196" s="8"/>
      <c r="W196" s="8"/>
      <c r="X196" s="8"/>
      <c r="Y196" s="8"/>
      <c r="Z196" s="8"/>
      <c r="AA196" s="8"/>
      <c r="AB196" s="8"/>
      <c r="AC196" s="8"/>
    </row>
    <row r="197" ht="12.75" customHeight="1" spans="1:29" x14ac:dyDescent="0.25">
      <c r="A197" s="8"/>
      <c r="B197" s="8"/>
      <c r="C197" s="8"/>
      <c r="D197" s="8"/>
      <c r="E197" s="8"/>
      <c r="F197" s="8"/>
      <c r="G197" s="8"/>
      <c r="H197" s="675"/>
      <c r="I197" s="675"/>
      <c r="J197" s="675"/>
      <c r="K197" s="675"/>
      <c r="L197" s="675"/>
      <c r="M197" s="675"/>
      <c r="N197" s="675"/>
      <c r="O197" s="675"/>
      <c r="P197" s="675"/>
      <c r="Q197" s="675"/>
      <c r="R197" s="675"/>
      <c r="S197" s="675"/>
      <c r="T197" s="675"/>
      <c r="U197" s="8"/>
      <c r="V197" s="8"/>
      <c r="W197" s="8"/>
      <c r="X197" s="8"/>
      <c r="Y197" s="8"/>
      <c r="Z197" s="8"/>
      <c r="AA197" s="8"/>
      <c r="AB197" s="8"/>
      <c r="AC197" s="8"/>
    </row>
    <row r="198" ht="12.75" customHeight="1" spans="1:29" x14ac:dyDescent="0.25">
      <c r="A198" s="8"/>
      <c r="B198" s="8"/>
      <c r="C198" s="8"/>
      <c r="D198" s="8"/>
      <c r="E198" s="8"/>
      <c r="F198" s="8"/>
      <c r="G198" s="8"/>
      <c r="H198" s="675"/>
      <c r="I198" s="675"/>
      <c r="J198" s="675"/>
      <c r="K198" s="675"/>
      <c r="L198" s="675"/>
      <c r="M198" s="675"/>
      <c r="N198" s="675"/>
      <c r="O198" s="675"/>
      <c r="P198" s="675"/>
      <c r="Q198" s="675"/>
      <c r="R198" s="675"/>
      <c r="S198" s="675"/>
      <c r="T198" s="675"/>
      <c r="U198" s="8"/>
      <c r="V198" s="8"/>
      <c r="W198" s="8"/>
      <c r="X198" s="8"/>
      <c r="Y198" s="8"/>
      <c r="Z198" s="8"/>
      <c r="AA198" s="8"/>
      <c r="AB198" s="8"/>
      <c r="AC198" s="8"/>
    </row>
    <row r="199" ht="12.75" customHeight="1" spans="1:29" x14ac:dyDescent="0.25">
      <c r="A199" s="8"/>
      <c r="B199" s="8"/>
      <c r="C199" s="8"/>
      <c r="D199" s="8"/>
      <c r="E199" s="8"/>
      <c r="F199" s="8"/>
      <c r="G199" s="8"/>
      <c r="H199" s="675"/>
      <c r="I199" s="675"/>
      <c r="J199" s="675"/>
      <c r="K199" s="675"/>
      <c r="L199" s="675"/>
      <c r="M199" s="675"/>
      <c r="N199" s="675"/>
      <c r="O199" s="675"/>
      <c r="P199" s="675"/>
      <c r="Q199" s="675"/>
      <c r="R199" s="675"/>
      <c r="S199" s="675"/>
      <c r="T199" s="675"/>
      <c r="U199" s="8"/>
      <c r="V199" s="8"/>
      <c r="W199" s="8"/>
      <c r="X199" s="8"/>
      <c r="Y199" s="8"/>
      <c r="Z199" s="8"/>
      <c r="AA199" s="8"/>
      <c r="AB199" s="8"/>
      <c r="AC199" s="8"/>
    </row>
    <row r="200" ht="12.75" customHeight="1" spans="1:29" x14ac:dyDescent="0.25">
      <c r="A200" s="8"/>
      <c r="B200" s="8"/>
      <c r="C200" s="8"/>
      <c r="D200" s="8"/>
      <c r="E200" s="8"/>
      <c r="F200" s="8"/>
      <c r="G200" s="8"/>
      <c r="H200" s="675"/>
      <c r="I200" s="675"/>
      <c r="J200" s="675"/>
      <c r="K200" s="675"/>
      <c r="L200" s="675"/>
      <c r="M200" s="675"/>
      <c r="N200" s="675"/>
      <c r="O200" s="675"/>
      <c r="P200" s="675"/>
      <c r="Q200" s="675"/>
      <c r="R200" s="675"/>
      <c r="S200" s="675"/>
      <c r="T200" s="675"/>
      <c r="U200" s="8"/>
      <c r="V200" s="8"/>
      <c r="W200" s="8"/>
      <c r="X200" s="8"/>
      <c r="Y200" s="8"/>
      <c r="Z200" s="8"/>
      <c r="AA200" s="8"/>
      <c r="AB200" s="8"/>
      <c r="AC200" s="8"/>
    </row>
    <row r="201" ht="12.75" customHeight="1" spans="1:29" x14ac:dyDescent="0.25">
      <c r="A201" s="8"/>
      <c r="B201" s="8"/>
      <c r="C201" s="8"/>
      <c r="D201" s="8"/>
      <c r="E201" s="8"/>
      <c r="F201" s="8"/>
      <c r="G201" s="8"/>
      <c r="H201" s="675"/>
      <c r="I201" s="675"/>
      <c r="J201" s="675"/>
      <c r="K201" s="675"/>
      <c r="L201" s="675"/>
      <c r="M201" s="675"/>
      <c r="N201" s="675"/>
      <c r="O201" s="675"/>
      <c r="P201" s="675"/>
      <c r="Q201" s="675"/>
      <c r="R201" s="675"/>
      <c r="S201" s="675"/>
      <c r="T201" s="675"/>
      <c r="U201" s="8"/>
      <c r="V201" s="8"/>
      <c r="W201" s="8"/>
      <c r="X201" s="8"/>
      <c r="Y201" s="8"/>
      <c r="Z201" s="8"/>
      <c r="AA201" s="8"/>
      <c r="AB201" s="8"/>
      <c r="AC201" s="8"/>
    </row>
    <row r="202" ht="12.75" customHeight="1" spans="1:29" x14ac:dyDescent="0.25">
      <c r="A202" s="8"/>
      <c r="B202" s="8"/>
      <c r="C202" s="8"/>
      <c r="D202" s="8"/>
      <c r="E202" s="8"/>
      <c r="F202" s="8"/>
      <c r="G202" s="8"/>
      <c r="H202" s="675"/>
      <c r="I202" s="675"/>
      <c r="J202" s="675"/>
      <c r="K202" s="675"/>
      <c r="L202" s="675"/>
      <c r="M202" s="675"/>
      <c r="N202" s="675"/>
      <c r="O202" s="675"/>
      <c r="P202" s="675"/>
      <c r="Q202" s="675"/>
      <c r="R202" s="675"/>
      <c r="S202" s="675"/>
      <c r="T202" s="675"/>
      <c r="U202" s="8"/>
      <c r="V202" s="8"/>
      <c r="W202" s="8"/>
      <c r="X202" s="8"/>
      <c r="Y202" s="8"/>
      <c r="Z202" s="8"/>
      <c r="AA202" s="8"/>
      <c r="AB202" s="8"/>
      <c r="AC202" s="8"/>
    </row>
    <row r="203" ht="12.75" customHeight="1" spans="1:29" x14ac:dyDescent="0.25">
      <c r="A203" s="8"/>
      <c r="B203" s="8"/>
      <c r="C203" s="8"/>
      <c r="D203" s="8"/>
      <c r="E203" s="8"/>
      <c r="F203" s="8"/>
      <c r="G203" s="8"/>
      <c r="H203" s="675"/>
      <c r="I203" s="675"/>
      <c r="J203" s="675"/>
      <c r="K203" s="675"/>
      <c r="L203" s="675"/>
      <c r="M203" s="675"/>
      <c r="N203" s="675"/>
      <c r="O203" s="675"/>
      <c r="P203" s="675"/>
      <c r="Q203" s="675"/>
      <c r="R203" s="675"/>
      <c r="S203" s="675"/>
      <c r="T203" s="675"/>
      <c r="U203" s="8"/>
      <c r="V203" s="8"/>
      <c r="W203" s="8"/>
      <c r="X203" s="8"/>
      <c r="Y203" s="8"/>
      <c r="Z203" s="8"/>
      <c r="AA203" s="8"/>
      <c r="AB203" s="8"/>
      <c r="AC203" s="8"/>
    </row>
    <row r="204" ht="12.75" customHeight="1" spans="1:29" x14ac:dyDescent="0.25">
      <c r="A204" s="8"/>
      <c r="B204" s="8"/>
      <c r="C204" s="8"/>
      <c r="D204" s="8"/>
      <c r="E204" s="8"/>
      <c r="F204" s="8"/>
      <c r="G204" s="8"/>
      <c r="H204" s="675"/>
      <c r="I204" s="675"/>
      <c r="J204" s="675"/>
      <c r="K204" s="675"/>
      <c r="L204" s="675"/>
      <c r="M204" s="675"/>
      <c r="N204" s="675"/>
      <c r="O204" s="675"/>
      <c r="P204" s="675"/>
      <c r="Q204" s="675"/>
      <c r="R204" s="675"/>
      <c r="S204" s="675"/>
      <c r="T204" s="675"/>
      <c r="U204" s="8"/>
      <c r="V204" s="8"/>
      <c r="W204" s="8"/>
      <c r="X204" s="8"/>
      <c r="Y204" s="8"/>
      <c r="Z204" s="8"/>
      <c r="AA204" s="8"/>
      <c r="AB204" s="8"/>
      <c r="AC204" s="8"/>
    </row>
    <row r="205" ht="12.75" customHeight="1" spans="1:29" x14ac:dyDescent="0.25">
      <c r="A205" s="8"/>
      <c r="B205" s="8"/>
      <c r="C205" s="8"/>
      <c r="D205" s="8"/>
      <c r="E205" s="8"/>
      <c r="F205" s="8"/>
      <c r="G205" s="8"/>
      <c r="H205" s="675"/>
      <c r="I205" s="675"/>
      <c r="J205" s="675"/>
      <c r="K205" s="675"/>
      <c r="L205" s="675"/>
      <c r="M205" s="675"/>
      <c r="N205" s="675"/>
      <c r="O205" s="675"/>
      <c r="P205" s="675"/>
      <c r="Q205" s="675"/>
      <c r="R205" s="675"/>
      <c r="S205" s="675"/>
      <c r="T205" s="675"/>
      <c r="U205" s="8"/>
      <c r="V205" s="8"/>
      <c r="W205" s="8"/>
      <c r="X205" s="8"/>
      <c r="Y205" s="8"/>
      <c r="Z205" s="8"/>
      <c r="AA205" s="8"/>
      <c r="AB205" s="8"/>
      <c r="AC205" s="8"/>
    </row>
    <row r="206" ht="12.75" customHeight="1" spans="1:29" x14ac:dyDescent="0.25">
      <c r="A206" s="8"/>
      <c r="B206" s="8"/>
      <c r="C206" s="8"/>
      <c r="D206" s="8"/>
      <c r="E206" s="8"/>
      <c r="F206" s="8"/>
      <c r="G206" s="8"/>
      <c r="H206" s="675"/>
      <c r="I206" s="675"/>
      <c r="J206" s="675"/>
      <c r="K206" s="675"/>
      <c r="L206" s="675"/>
      <c r="M206" s="675"/>
      <c r="N206" s="675"/>
      <c r="O206" s="675"/>
      <c r="P206" s="675"/>
      <c r="Q206" s="675"/>
      <c r="R206" s="675"/>
      <c r="S206" s="675"/>
      <c r="T206" s="675"/>
      <c r="U206" s="8"/>
      <c r="V206" s="8"/>
      <c r="W206" s="8"/>
      <c r="X206" s="8"/>
      <c r="Y206" s="8"/>
      <c r="Z206" s="8"/>
      <c r="AA206" s="8"/>
      <c r="AB206" s="8"/>
      <c r="AC206" s="8"/>
    </row>
    <row r="207" ht="12.75" customHeight="1" spans="1:29" x14ac:dyDescent="0.25">
      <c r="A207" s="8"/>
      <c r="B207" s="8"/>
      <c r="C207" s="8"/>
      <c r="D207" s="8"/>
      <c r="E207" s="8"/>
      <c r="F207" s="8"/>
      <c r="G207" s="8"/>
      <c r="H207" s="675"/>
      <c r="I207" s="675"/>
      <c r="J207" s="675"/>
      <c r="K207" s="675"/>
      <c r="L207" s="675"/>
      <c r="M207" s="675"/>
      <c r="N207" s="675"/>
      <c r="O207" s="675"/>
      <c r="P207" s="675"/>
      <c r="Q207" s="675"/>
      <c r="R207" s="675"/>
      <c r="S207" s="675"/>
      <c r="T207" s="675"/>
      <c r="U207" s="8"/>
      <c r="V207" s="8"/>
      <c r="W207" s="8"/>
      <c r="X207" s="8"/>
      <c r="Y207" s="8"/>
      <c r="Z207" s="8"/>
      <c r="AA207" s="8"/>
      <c r="AB207" s="8"/>
      <c r="AC207" s="8"/>
    </row>
    <row r="208" ht="12.75" customHeight="1" spans="1:29" x14ac:dyDescent="0.25">
      <c r="A208" s="8"/>
      <c r="B208" s="8"/>
      <c r="C208" s="8"/>
      <c r="D208" s="8"/>
      <c r="E208" s="8"/>
      <c r="F208" s="8"/>
      <c r="G208" s="8"/>
      <c r="H208" s="675"/>
      <c r="I208" s="675"/>
      <c r="J208" s="675"/>
      <c r="K208" s="675"/>
      <c r="L208" s="675"/>
      <c r="M208" s="675"/>
      <c r="N208" s="675"/>
      <c r="O208" s="675"/>
      <c r="P208" s="675"/>
      <c r="Q208" s="675"/>
      <c r="R208" s="675"/>
      <c r="S208" s="675"/>
      <c r="T208" s="675"/>
      <c r="U208" s="8"/>
      <c r="V208" s="8"/>
      <c r="W208" s="8"/>
      <c r="X208" s="8"/>
      <c r="Y208" s="8"/>
      <c r="Z208" s="8"/>
      <c r="AA208" s="8"/>
      <c r="AB208" s="8"/>
      <c r="AC208" s="8"/>
    </row>
    <row r="209" ht="12.75" customHeight="1" spans="1:29" x14ac:dyDescent="0.25">
      <c r="A209" s="8"/>
      <c r="B209" s="8"/>
      <c r="C209" s="8"/>
      <c r="D209" s="8"/>
      <c r="E209" s="8"/>
      <c r="F209" s="8"/>
      <c r="G209" s="8"/>
      <c r="H209" s="675"/>
      <c r="I209" s="675"/>
      <c r="J209" s="675"/>
      <c r="K209" s="675"/>
      <c r="L209" s="675"/>
      <c r="M209" s="675"/>
      <c r="N209" s="675"/>
      <c r="O209" s="675"/>
      <c r="P209" s="675"/>
      <c r="Q209" s="675"/>
      <c r="R209" s="675"/>
      <c r="S209" s="675"/>
      <c r="T209" s="675"/>
      <c r="U209" s="8"/>
      <c r="V209" s="8"/>
      <c r="W209" s="8"/>
      <c r="X209" s="8"/>
      <c r="Y209" s="8"/>
      <c r="Z209" s="8"/>
      <c r="AA209" s="8"/>
      <c r="AB209" s="8"/>
      <c r="AC209" s="8"/>
    </row>
    <row r="210" ht="12.75" customHeight="1" spans="1:29" x14ac:dyDescent="0.25">
      <c r="A210" s="8"/>
      <c r="B210" s="8"/>
      <c r="C210" s="8"/>
      <c r="D210" s="8"/>
      <c r="E210" s="8"/>
      <c r="F210" s="8"/>
      <c r="G210" s="8"/>
      <c r="H210" s="675"/>
      <c r="I210" s="675"/>
      <c r="J210" s="675"/>
      <c r="K210" s="675"/>
      <c r="L210" s="675"/>
      <c r="M210" s="675"/>
      <c r="N210" s="675"/>
      <c r="O210" s="675"/>
      <c r="P210" s="675"/>
      <c r="Q210" s="675"/>
      <c r="R210" s="675"/>
      <c r="S210" s="675"/>
      <c r="T210" s="675"/>
      <c r="U210" s="8"/>
      <c r="V210" s="8"/>
      <c r="W210" s="8"/>
      <c r="X210" s="8"/>
      <c r="Y210" s="8"/>
      <c r="Z210" s="8"/>
      <c r="AA210" s="8"/>
      <c r="AB210" s="8"/>
      <c r="AC210" s="8"/>
    </row>
    <row r="211" ht="12.75" customHeight="1" spans="1:29" x14ac:dyDescent="0.25">
      <c r="A211" s="8"/>
      <c r="B211" s="8"/>
      <c r="C211" s="8"/>
      <c r="D211" s="8"/>
      <c r="E211" s="8"/>
      <c r="F211" s="8"/>
      <c r="G211" s="8"/>
      <c r="H211" s="675"/>
      <c r="I211" s="675"/>
      <c r="J211" s="675"/>
      <c r="K211" s="675"/>
      <c r="L211" s="675"/>
      <c r="M211" s="675"/>
      <c r="N211" s="675"/>
      <c r="O211" s="675"/>
      <c r="P211" s="675"/>
      <c r="Q211" s="675"/>
      <c r="R211" s="675"/>
      <c r="S211" s="675"/>
      <c r="T211" s="675"/>
      <c r="U211" s="8"/>
      <c r="V211" s="8"/>
      <c r="W211" s="8"/>
      <c r="X211" s="8"/>
      <c r="Y211" s="8"/>
      <c r="Z211" s="8"/>
      <c r="AA211" s="8"/>
      <c r="AB211" s="8"/>
      <c r="AC211" s="8"/>
    </row>
    <row r="212" ht="12.75" customHeight="1" spans="1:29" x14ac:dyDescent="0.25">
      <c r="A212" s="8"/>
      <c r="B212" s="8"/>
      <c r="C212" s="8"/>
      <c r="D212" s="8"/>
      <c r="E212" s="8"/>
      <c r="F212" s="8"/>
      <c r="G212" s="8"/>
      <c r="H212" s="675"/>
      <c r="I212" s="675"/>
      <c r="J212" s="675"/>
      <c r="K212" s="675"/>
      <c r="L212" s="675"/>
      <c r="M212" s="675"/>
      <c r="N212" s="675"/>
      <c r="O212" s="675"/>
      <c r="P212" s="675"/>
      <c r="Q212" s="675"/>
      <c r="R212" s="675"/>
      <c r="S212" s="675"/>
      <c r="T212" s="675"/>
      <c r="U212" s="8"/>
      <c r="V212" s="8"/>
      <c r="W212" s="8"/>
      <c r="X212" s="8"/>
      <c r="Y212" s="8"/>
      <c r="Z212" s="8"/>
      <c r="AA212" s="8"/>
      <c r="AB212" s="8"/>
      <c r="AC212" s="8"/>
    </row>
    <row r="213" ht="12.75" customHeight="1" spans="1:29" x14ac:dyDescent="0.25">
      <c r="A213" s="8"/>
      <c r="B213" s="8"/>
      <c r="C213" s="8"/>
      <c r="D213" s="8"/>
      <c r="E213" s="8"/>
      <c r="F213" s="8"/>
      <c r="G213" s="8"/>
      <c r="H213" s="675"/>
      <c r="I213" s="675"/>
      <c r="J213" s="675"/>
      <c r="K213" s="675"/>
      <c r="L213" s="675"/>
      <c r="M213" s="675"/>
      <c r="N213" s="675"/>
      <c r="O213" s="675"/>
      <c r="P213" s="675"/>
      <c r="Q213" s="675"/>
      <c r="R213" s="675"/>
      <c r="S213" s="675"/>
      <c r="T213" s="675"/>
      <c r="U213" s="8"/>
      <c r="V213" s="8"/>
      <c r="W213" s="8"/>
      <c r="X213" s="8"/>
      <c r="Y213" s="8"/>
      <c r="Z213" s="8"/>
      <c r="AA213" s="8"/>
      <c r="AB213" s="8"/>
      <c r="AC213" s="8"/>
    </row>
    <row r="214" ht="12.75" customHeight="1" spans="1:29" x14ac:dyDescent="0.25">
      <c r="A214" s="8"/>
      <c r="B214" s="8"/>
      <c r="C214" s="8"/>
      <c r="D214" s="8"/>
      <c r="E214" s="8"/>
      <c r="F214" s="8"/>
      <c r="G214" s="8"/>
      <c r="H214" s="675"/>
      <c r="I214" s="675"/>
      <c r="J214" s="675"/>
      <c r="K214" s="675"/>
      <c r="L214" s="675"/>
      <c r="M214" s="675"/>
      <c r="N214" s="675"/>
      <c r="O214" s="675"/>
      <c r="P214" s="675"/>
      <c r="Q214" s="675"/>
      <c r="R214" s="675"/>
      <c r="S214" s="675"/>
      <c r="T214" s="675"/>
      <c r="U214" s="8"/>
      <c r="V214" s="8"/>
      <c r="W214" s="8"/>
      <c r="X214" s="8"/>
      <c r="Y214" s="8"/>
      <c r="Z214" s="8"/>
      <c r="AA214" s="8"/>
      <c r="AB214" s="8"/>
      <c r="AC214" s="8"/>
    </row>
    <row r="215" ht="12.75" customHeight="1" spans="1:29" x14ac:dyDescent="0.25">
      <c r="A215" s="8"/>
      <c r="B215" s="8"/>
      <c r="C215" s="8"/>
      <c r="D215" s="8"/>
      <c r="E215" s="8"/>
      <c r="F215" s="8"/>
      <c r="G215" s="8"/>
      <c r="H215" s="675"/>
      <c r="I215" s="675"/>
      <c r="J215" s="675"/>
      <c r="K215" s="675"/>
      <c r="L215" s="675"/>
      <c r="M215" s="675"/>
      <c r="N215" s="675"/>
      <c r="O215" s="675"/>
      <c r="P215" s="675"/>
      <c r="Q215" s="675"/>
      <c r="R215" s="675"/>
      <c r="S215" s="675"/>
      <c r="T215" s="675"/>
      <c r="U215" s="8"/>
      <c r="V215" s="8"/>
      <c r="W215" s="8"/>
      <c r="X215" s="8"/>
      <c r="Y215" s="8"/>
      <c r="Z215" s="8"/>
      <c r="AA215" s="8"/>
      <c r="AB215" s="8"/>
      <c r="AC215" s="8"/>
    </row>
    <row r="216" ht="12.75" customHeight="1" spans="1:29" x14ac:dyDescent="0.25">
      <c r="A216" s="8"/>
      <c r="B216" s="8"/>
      <c r="C216" s="8"/>
      <c r="D216" s="8"/>
      <c r="E216" s="8"/>
      <c r="F216" s="8"/>
      <c r="G216" s="8"/>
      <c r="H216" s="675"/>
      <c r="I216" s="675"/>
      <c r="J216" s="675"/>
      <c r="K216" s="675"/>
      <c r="L216" s="675"/>
      <c r="M216" s="675"/>
      <c r="N216" s="675"/>
      <c r="O216" s="675"/>
      <c r="P216" s="675"/>
      <c r="Q216" s="675"/>
      <c r="R216" s="675"/>
      <c r="S216" s="675"/>
      <c r="T216" s="675"/>
      <c r="U216" s="8"/>
      <c r="V216" s="8"/>
      <c r="W216" s="8"/>
      <c r="X216" s="8"/>
      <c r="Y216" s="8"/>
      <c r="Z216" s="8"/>
      <c r="AA216" s="8"/>
      <c r="AB216" s="8"/>
      <c r="AC216" s="8"/>
    </row>
    <row r="217" ht="12.75" customHeight="1" spans="1:29" x14ac:dyDescent="0.25">
      <c r="A217" s="8"/>
      <c r="B217" s="8"/>
      <c r="C217" s="8"/>
      <c r="D217" s="8"/>
      <c r="E217" s="8"/>
      <c r="F217" s="8"/>
      <c r="G217" s="8"/>
      <c r="H217" s="675"/>
      <c r="I217" s="675"/>
      <c r="J217" s="675"/>
      <c r="K217" s="675"/>
      <c r="L217" s="675"/>
      <c r="M217" s="675"/>
      <c r="N217" s="675"/>
      <c r="O217" s="675"/>
      <c r="P217" s="675"/>
      <c r="Q217" s="675"/>
      <c r="R217" s="675"/>
      <c r="S217" s="675"/>
      <c r="T217" s="675"/>
      <c r="U217" s="8"/>
      <c r="V217" s="8"/>
      <c r="W217" s="8"/>
      <c r="X217" s="8"/>
      <c r="Y217" s="8"/>
      <c r="Z217" s="8"/>
      <c r="AA217" s="8"/>
      <c r="AB217" s="8"/>
      <c r="AC217" s="8"/>
    </row>
    <row r="218" ht="12.75" customHeight="1" spans="1:29" x14ac:dyDescent="0.25">
      <c r="A218" s="8"/>
      <c r="B218" s="8"/>
      <c r="C218" s="8"/>
      <c r="D218" s="8"/>
      <c r="E218" s="8"/>
      <c r="F218" s="8"/>
      <c r="G218" s="8"/>
      <c r="H218" s="675"/>
      <c r="I218" s="675"/>
      <c r="J218" s="675"/>
      <c r="K218" s="675"/>
      <c r="L218" s="675"/>
      <c r="M218" s="675"/>
      <c r="N218" s="675"/>
      <c r="O218" s="675"/>
      <c r="P218" s="675"/>
      <c r="Q218" s="675"/>
      <c r="R218" s="675"/>
      <c r="S218" s="675"/>
      <c r="T218" s="675"/>
      <c r="U218" s="8"/>
      <c r="V218" s="8"/>
      <c r="W218" s="8"/>
      <c r="X218" s="8"/>
      <c r="Y218" s="8"/>
      <c r="Z218" s="8"/>
      <c r="AA218" s="8"/>
      <c r="AB218" s="8"/>
      <c r="AC218" s="8"/>
    </row>
    <row r="219" ht="12.75" customHeight="1" spans="1:29" x14ac:dyDescent="0.25">
      <c r="A219" s="8"/>
      <c r="B219" s="8"/>
      <c r="C219" s="8"/>
      <c r="D219" s="8"/>
      <c r="E219" s="8"/>
      <c r="F219" s="8"/>
      <c r="G219" s="8"/>
      <c r="H219" s="675"/>
      <c r="I219" s="675"/>
      <c r="J219" s="675"/>
      <c r="K219" s="675"/>
      <c r="L219" s="675"/>
      <c r="M219" s="675"/>
      <c r="N219" s="675"/>
      <c r="O219" s="675"/>
      <c r="P219" s="675"/>
      <c r="Q219" s="675"/>
      <c r="R219" s="675"/>
      <c r="S219" s="675"/>
      <c r="T219" s="675"/>
      <c r="U219" s="8"/>
      <c r="V219" s="8"/>
      <c r="W219" s="8"/>
      <c r="X219" s="8"/>
      <c r="Y219" s="8"/>
      <c r="Z219" s="8"/>
      <c r="AA219" s="8"/>
      <c r="AB219" s="8"/>
      <c r="AC219" s="8"/>
    </row>
    <row r="220" ht="12.75" customHeight="1" spans="1:29" x14ac:dyDescent="0.25">
      <c r="A220" s="8"/>
      <c r="B220" s="8"/>
      <c r="C220" s="8"/>
      <c r="D220" s="8"/>
      <c r="E220" s="8"/>
      <c r="F220" s="8"/>
      <c r="G220" s="8"/>
      <c r="H220" s="675"/>
      <c r="I220" s="675"/>
      <c r="J220" s="675"/>
      <c r="K220" s="675"/>
      <c r="L220" s="675"/>
      <c r="M220" s="675"/>
      <c r="N220" s="675"/>
      <c r="O220" s="675"/>
      <c r="P220" s="675"/>
      <c r="Q220" s="675"/>
      <c r="R220" s="675"/>
      <c r="S220" s="675"/>
      <c r="T220" s="675"/>
      <c r="U220" s="8"/>
      <c r="V220" s="8"/>
      <c r="W220" s="8"/>
      <c r="X220" s="8"/>
      <c r="Y220" s="8"/>
      <c r="Z220" s="8"/>
      <c r="AA220" s="8"/>
      <c r="AB220" s="8"/>
      <c r="AC220" s="8"/>
    </row>
    <row r="221" ht="12.75" customHeight="1" spans="1:29" x14ac:dyDescent="0.25">
      <c r="A221" s="8"/>
      <c r="B221" s="8"/>
      <c r="C221" s="8"/>
      <c r="D221" s="8"/>
      <c r="E221" s="8"/>
      <c r="F221" s="8"/>
      <c r="G221" s="8"/>
      <c r="H221" s="675"/>
      <c r="I221" s="675"/>
      <c r="J221" s="675"/>
      <c r="K221" s="675"/>
      <c r="L221" s="675"/>
      <c r="M221" s="675"/>
      <c r="N221" s="675"/>
      <c r="O221" s="675"/>
      <c r="P221" s="675"/>
      <c r="Q221" s="675"/>
      <c r="R221" s="675"/>
      <c r="S221" s="675"/>
      <c r="T221" s="675"/>
      <c r="U221" s="8"/>
      <c r="V221" s="8"/>
      <c r="W221" s="8"/>
      <c r="X221" s="8"/>
      <c r="Y221" s="8"/>
      <c r="Z221" s="8"/>
      <c r="AA221" s="8"/>
      <c r="AB221" s="8"/>
      <c r="AC221" s="8"/>
    </row>
    <row r="222" ht="12.75" customHeight="1" spans="1:29" x14ac:dyDescent="0.25">
      <c r="A222" s="8"/>
      <c r="B222" s="8"/>
      <c r="C222" s="8"/>
      <c r="D222" s="8"/>
      <c r="E222" s="8"/>
      <c r="F222" s="8"/>
      <c r="G222" s="8"/>
      <c r="H222" s="675"/>
      <c r="I222" s="675"/>
      <c r="J222" s="675"/>
      <c r="K222" s="675"/>
      <c r="L222" s="675"/>
      <c r="M222" s="675"/>
      <c r="N222" s="675"/>
      <c r="O222" s="675"/>
      <c r="P222" s="675"/>
      <c r="Q222" s="675"/>
      <c r="R222" s="675"/>
      <c r="S222" s="675"/>
      <c r="T222" s="675"/>
      <c r="U222" s="8"/>
      <c r="V222" s="8"/>
      <c r="W222" s="8"/>
      <c r="X222" s="8"/>
      <c r="Y222" s="8"/>
      <c r="Z222" s="8"/>
      <c r="AA222" s="8"/>
      <c r="AB222" s="8"/>
      <c r="AC222" s="8"/>
    </row>
    <row r="223" ht="12.75" customHeight="1" spans="1:29" x14ac:dyDescent="0.25">
      <c r="A223" s="8"/>
      <c r="B223" s="8"/>
      <c r="C223" s="8"/>
      <c r="D223" s="8"/>
      <c r="E223" s="8"/>
      <c r="F223" s="8"/>
      <c r="G223" s="8"/>
      <c r="H223" s="675"/>
      <c r="I223" s="675"/>
      <c r="J223" s="675"/>
      <c r="K223" s="675"/>
      <c r="L223" s="675"/>
      <c r="M223" s="675"/>
      <c r="N223" s="675"/>
      <c r="O223" s="675"/>
      <c r="P223" s="675"/>
      <c r="Q223" s="675"/>
      <c r="R223" s="675"/>
      <c r="S223" s="675"/>
      <c r="T223" s="675"/>
      <c r="U223" s="8"/>
      <c r="V223" s="8"/>
      <c r="W223" s="8"/>
      <c r="X223" s="8"/>
      <c r="Y223" s="8"/>
      <c r="Z223" s="8"/>
      <c r="AA223" s="8"/>
      <c r="AB223" s="8"/>
      <c r="AC223" s="8"/>
    </row>
    <row r="224" ht="12.75" customHeight="1" spans="1:29" x14ac:dyDescent="0.25">
      <c r="A224" s="8"/>
      <c r="B224" s="8"/>
      <c r="C224" s="8"/>
      <c r="D224" s="8"/>
      <c r="E224" s="8"/>
      <c r="F224" s="8"/>
      <c r="G224" s="8"/>
      <c r="H224" s="675"/>
      <c r="I224" s="675"/>
      <c r="J224" s="675"/>
      <c r="K224" s="675"/>
      <c r="L224" s="675"/>
      <c r="M224" s="675"/>
      <c r="N224" s="675"/>
      <c r="O224" s="675"/>
      <c r="P224" s="675"/>
      <c r="Q224" s="675"/>
      <c r="R224" s="675"/>
      <c r="S224" s="675"/>
      <c r="T224" s="675"/>
      <c r="U224" s="8"/>
      <c r="V224" s="8"/>
      <c r="W224" s="8"/>
      <c r="X224" s="8"/>
      <c r="Y224" s="8"/>
      <c r="Z224" s="8"/>
      <c r="AA224" s="8"/>
      <c r="AB224" s="8"/>
      <c r="AC224" s="8"/>
    </row>
    <row r="225" ht="12.75" customHeight="1" spans="1:29" x14ac:dyDescent="0.25">
      <c r="A225" s="8"/>
      <c r="B225" s="8"/>
      <c r="C225" s="8"/>
      <c r="D225" s="8"/>
      <c r="E225" s="8"/>
      <c r="F225" s="8"/>
      <c r="G225" s="8"/>
      <c r="H225" s="675"/>
      <c r="I225" s="675"/>
      <c r="J225" s="675"/>
      <c r="K225" s="675"/>
      <c r="L225" s="675"/>
      <c r="M225" s="675"/>
      <c r="N225" s="675"/>
      <c r="O225" s="675"/>
      <c r="P225" s="675"/>
      <c r="Q225" s="675"/>
      <c r="R225" s="675"/>
      <c r="S225" s="675"/>
      <c r="T225" s="675"/>
      <c r="U225" s="8"/>
      <c r="V225" s="8"/>
      <c r="W225" s="8"/>
      <c r="X225" s="8"/>
      <c r="Y225" s="8"/>
      <c r="Z225" s="8"/>
      <c r="AA225" s="8"/>
      <c r="AB225" s="8"/>
      <c r="AC225" s="8"/>
    </row>
    <row r="226" ht="12.75" customHeight="1" spans="1:29" x14ac:dyDescent="0.25">
      <c r="A226" s="8"/>
      <c r="B226" s="8"/>
      <c r="C226" s="8"/>
      <c r="D226" s="8"/>
      <c r="E226" s="8"/>
      <c r="F226" s="8"/>
      <c r="G226" s="8"/>
      <c r="H226" s="675"/>
      <c r="I226" s="675"/>
      <c r="J226" s="675"/>
      <c r="K226" s="675"/>
      <c r="L226" s="675"/>
      <c r="M226" s="675"/>
      <c r="N226" s="675"/>
      <c r="O226" s="675"/>
      <c r="P226" s="675"/>
      <c r="Q226" s="675"/>
      <c r="R226" s="675"/>
      <c r="S226" s="675"/>
      <c r="T226" s="675"/>
      <c r="U226" s="8"/>
      <c r="V226" s="8"/>
      <c r="W226" s="8"/>
      <c r="X226" s="8"/>
      <c r="Y226" s="8"/>
      <c r="Z226" s="8"/>
      <c r="AA226" s="8"/>
      <c r="AB226" s="8"/>
      <c r="AC226" s="8"/>
    </row>
    <row r="227" ht="12.75" customHeight="1" spans="1:29" x14ac:dyDescent="0.25">
      <c r="A227" s="8"/>
      <c r="B227" s="8"/>
      <c r="C227" s="8"/>
      <c r="D227" s="8"/>
      <c r="E227" s="8"/>
      <c r="F227" s="8"/>
      <c r="G227" s="8"/>
      <c r="H227" s="675"/>
      <c r="I227" s="675"/>
      <c r="J227" s="675"/>
      <c r="K227" s="675"/>
      <c r="L227" s="675"/>
      <c r="M227" s="675"/>
      <c r="N227" s="675"/>
      <c r="O227" s="675"/>
      <c r="P227" s="675"/>
      <c r="Q227" s="675"/>
      <c r="R227" s="675"/>
      <c r="S227" s="675"/>
      <c r="T227" s="675"/>
      <c r="U227" s="8"/>
      <c r="V227" s="8"/>
      <c r="W227" s="8"/>
      <c r="X227" s="8"/>
      <c r="Y227" s="8"/>
      <c r="Z227" s="8"/>
      <c r="AA227" s="8"/>
      <c r="AB227" s="8"/>
      <c r="AC227" s="8"/>
    </row>
    <row r="228" ht="12.75" customHeight="1" spans="1:29" x14ac:dyDescent="0.25">
      <c r="A228" s="8"/>
      <c r="B228" s="8"/>
      <c r="C228" s="8"/>
      <c r="D228" s="8"/>
      <c r="E228" s="8"/>
      <c r="F228" s="8"/>
      <c r="G228" s="8"/>
      <c r="H228" s="675"/>
      <c r="I228" s="675"/>
      <c r="J228" s="675"/>
      <c r="K228" s="675"/>
      <c r="L228" s="675"/>
      <c r="M228" s="675"/>
      <c r="N228" s="675"/>
      <c r="O228" s="675"/>
      <c r="P228" s="675"/>
      <c r="Q228" s="675"/>
      <c r="R228" s="675"/>
      <c r="S228" s="675"/>
      <c r="T228" s="675"/>
      <c r="U228" s="8"/>
      <c r="V228" s="8"/>
      <c r="W228" s="8"/>
      <c r="X228" s="8"/>
      <c r="Y228" s="8"/>
      <c r="Z228" s="8"/>
      <c r="AA228" s="8"/>
      <c r="AB228" s="8"/>
      <c r="AC228" s="8"/>
    </row>
    <row r="229" ht="12.75" customHeight="1" spans="1:29" x14ac:dyDescent="0.25">
      <c r="A229" s="8"/>
      <c r="B229" s="8"/>
      <c r="C229" s="8"/>
      <c r="D229" s="8"/>
      <c r="E229" s="8"/>
      <c r="F229" s="8"/>
      <c r="G229" s="8"/>
      <c r="H229" s="675"/>
      <c r="I229" s="675"/>
      <c r="J229" s="675"/>
      <c r="K229" s="675"/>
      <c r="L229" s="675"/>
      <c r="M229" s="675"/>
      <c r="N229" s="675"/>
      <c r="O229" s="675"/>
      <c r="P229" s="675"/>
      <c r="Q229" s="675"/>
      <c r="R229" s="675"/>
      <c r="S229" s="675"/>
      <c r="T229" s="675"/>
      <c r="U229" s="8"/>
      <c r="V229" s="8"/>
      <c r="W229" s="8"/>
      <c r="X229" s="8"/>
      <c r="Y229" s="8"/>
      <c r="Z229" s="8"/>
      <c r="AA229" s="8"/>
      <c r="AB229" s="8"/>
      <c r="AC229" s="8"/>
    </row>
    <row r="230" ht="12.75" customHeight="1" spans="1:29" x14ac:dyDescent="0.25">
      <c r="A230" s="8"/>
      <c r="B230" s="8"/>
      <c r="C230" s="8"/>
      <c r="D230" s="8"/>
      <c r="E230" s="8"/>
      <c r="F230" s="8"/>
      <c r="G230" s="8"/>
      <c r="H230" s="675"/>
      <c r="I230" s="675"/>
      <c r="J230" s="675"/>
      <c r="K230" s="675"/>
      <c r="L230" s="675"/>
      <c r="M230" s="675"/>
      <c r="N230" s="675"/>
      <c r="O230" s="675"/>
      <c r="P230" s="675"/>
      <c r="Q230" s="675"/>
      <c r="R230" s="675"/>
      <c r="S230" s="675"/>
      <c r="T230" s="675"/>
      <c r="U230" s="8"/>
      <c r="V230" s="8"/>
      <c r="W230" s="8"/>
      <c r="X230" s="8"/>
      <c r="Y230" s="8"/>
      <c r="Z230" s="8"/>
      <c r="AA230" s="8"/>
      <c r="AB230" s="8"/>
      <c r="AC230" s="8"/>
    </row>
    <row r="231" ht="12.75" customHeight="1" spans="1:29" x14ac:dyDescent="0.25">
      <c r="A231" s="8"/>
      <c r="B231" s="8"/>
      <c r="C231" s="8"/>
      <c r="D231" s="8"/>
      <c r="E231" s="8"/>
      <c r="F231" s="8"/>
      <c r="G231" s="8"/>
      <c r="H231" s="675"/>
      <c r="I231" s="675"/>
      <c r="J231" s="675"/>
      <c r="K231" s="675"/>
      <c r="L231" s="675"/>
      <c r="M231" s="675"/>
      <c r="N231" s="675"/>
      <c r="O231" s="675"/>
      <c r="P231" s="675"/>
      <c r="Q231" s="675"/>
      <c r="R231" s="675"/>
      <c r="S231" s="675"/>
      <c r="T231" s="675"/>
      <c r="U231" s="8"/>
      <c r="V231" s="8"/>
      <c r="W231" s="8"/>
      <c r="X231" s="8"/>
      <c r="Y231" s="8"/>
      <c r="Z231" s="8"/>
      <c r="AA231" s="8"/>
      <c r="AB231" s="8"/>
      <c r="AC231" s="8"/>
    </row>
    <row r="232" ht="12.75" customHeight="1" spans="1:29" x14ac:dyDescent="0.25">
      <c r="A232" s="8"/>
      <c r="B232" s="8"/>
      <c r="C232" s="8"/>
      <c r="D232" s="8"/>
      <c r="E232" s="8"/>
      <c r="F232" s="8"/>
      <c r="G232" s="8"/>
      <c r="H232" s="675"/>
      <c r="I232" s="675"/>
      <c r="J232" s="675"/>
      <c r="K232" s="675"/>
      <c r="L232" s="675"/>
      <c r="M232" s="675"/>
      <c r="N232" s="675"/>
      <c r="O232" s="675"/>
      <c r="P232" s="675"/>
      <c r="Q232" s="675"/>
      <c r="R232" s="675"/>
      <c r="S232" s="675"/>
      <c r="T232" s="675"/>
      <c r="U232" s="8"/>
      <c r="V232" s="8"/>
      <c r="W232" s="8"/>
      <c r="X232" s="8"/>
      <c r="Y232" s="8"/>
      <c r="Z232" s="8"/>
      <c r="AA232" s="8"/>
      <c r="AB232" s="8"/>
      <c r="AC232" s="8"/>
    </row>
    <row r="233" ht="12.75" customHeight="1" spans="1:29" x14ac:dyDescent="0.25">
      <c r="A233" s="8"/>
      <c r="B233" s="8"/>
      <c r="C233" s="8"/>
      <c r="D233" s="8"/>
      <c r="E233" s="8"/>
      <c r="F233" s="8"/>
      <c r="G233" s="8"/>
      <c r="H233" s="675"/>
      <c r="I233" s="675"/>
      <c r="J233" s="675"/>
      <c r="K233" s="675"/>
      <c r="L233" s="675"/>
      <c r="M233" s="675"/>
      <c r="N233" s="675"/>
      <c r="O233" s="675"/>
      <c r="P233" s="675"/>
      <c r="Q233" s="675"/>
      <c r="R233" s="675"/>
      <c r="S233" s="675"/>
      <c r="T233" s="675"/>
      <c r="U233" s="8"/>
      <c r="V233" s="8"/>
      <c r="W233" s="8"/>
      <c r="X233" s="8"/>
      <c r="Y233" s="8"/>
      <c r="Z233" s="8"/>
      <c r="AA233" s="8"/>
      <c r="AB233" s="8"/>
      <c r="AC233" s="8"/>
    </row>
    <row r="234" ht="12.75" customHeight="1" spans="1:29" x14ac:dyDescent="0.25">
      <c r="A234" s="8"/>
      <c r="B234" s="8"/>
      <c r="C234" s="8"/>
      <c r="D234" s="8"/>
      <c r="E234" s="8"/>
      <c r="F234" s="8"/>
      <c r="G234" s="8"/>
      <c r="H234" s="675"/>
      <c r="I234" s="675"/>
      <c r="J234" s="675"/>
      <c r="K234" s="675"/>
      <c r="L234" s="675"/>
      <c r="M234" s="675"/>
      <c r="N234" s="675"/>
      <c r="O234" s="675"/>
      <c r="P234" s="675"/>
      <c r="Q234" s="675"/>
      <c r="R234" s="675"/>
      <c r="S234" s="675"/>
      <c r="T234" s="675"/>
      <c r="U234" s="8"/>
      <c r="V234" s="8"/>
      <c r="W234" s="8"/>
      <c r="X234" s="8"/>
      <c r="Y234" s="8"/>
      <c r="Z234" s="8"/>
      <c r="AA234" s="8"/>
      <c r="AB234" s="8"/>
      <c r="AC234" s="8"/>
    </row>
    <row r="235" ht="12.75" customHeight="1" spans="1:29" x14ac:dyDescent="0.25">
      <c r="A235" s="8"/>
      <c r="B235" s="8"/>
      <c r="C235" s="8"/>
      <c r="D235" s="8"/>
      <c r="E235" s="8"/>
      <c r="F235" s="8"/>
      <c r="G235" s="8"/>
      <c r="H235" s="675"/>
      <c r="I235" s="675"/>
      <c r="J235" s="675"/>
      <c r="K235" s="675"/>
      <c r="L235" s="675"/>
      <c r="M235" s="675"/>
      <c r="N235" s="675"/>
      <c r="O235" s="675"/>
      <c r="P235" s="675"/>
      <c r="Q235" s="675"/>
      <c r="R235" s="675"/>
      <c r="S235" s="675"/>
      <c r="T235" s="675"/>
      <c r="U235" s="8"/>
      <c r="V235" s="8"/>
      <c r="W235" s="8"/>
      <c r="X235" s="8"/>
      <c r="Y235" s="8"/>
      <c r="Z235" s="8"/>
      <c r="AA235" s="8"/>
      <c r="AB235" s="8"/>
      <c r="AC235" s="8"/>
    </row>
    <row r="236" ht="12.75" customHeight="1" spans="1:29" x14ac:dyDescent="0.25">
      <c r="A236" s="8"/>
      <c r="B236" s="8"/>
      <c r="C236" s="8"/>
      <c r="D236" s="8"/>
      <c r="E236" s="8"/>
      <c r="F236" s="8"/>
      <c r="G236" s="8"/>
      <c r="H236" s="675"/>
      <c r="I236" s="675"/>
      <c r="J236" s="675"/>
      <c r="K236" s="675"/>
      <c r="L236" s="675"/>
      <c r="M236" s="675"/>
      <c r="N236" s="675"/>
      <c r="O236" s="675"/>
      <c r="P236" s="675"/>
      <c r="Q236" s="675"/>
      <c r="R236" s="675"/>
      <c r="S236" s="675"/>
      <c r="T236" s="675"/>
      <c r="U236" s="8"/>
      <c r="V236" s="8"/>
      <c r="W236" s="8"/>
      <c r="X236" s="8"/>
      <c r="Y236" s="8"/>
      <c r="Z236" s="8"/>
      <c r="AA236" s="8"/>
      <c r="AB236" s="8"/>
      <c r="AC236" s="8"/>
    </row>
    <row r="237" ht="12.75" customHeight="1" spans="1:29" x14ac:dyDescent="0.25">
      <c r="A237" s="8"/>
      <c r="B237" s="8"/>
      <c r="C237" s="8"/>
      <c r="D237" s="8"/>
      <c r="E237" s="8"/>
      <c r="F237" s="8"/>
      <c r="G237" s="8"/>
      <c r="H237" s="675"/>
      <c r="I237" s="675"/>
      <c r="J237" s="675"/>
      <c r="K237" s="675"/>
      <c r="L237" s="675"/>
      <c r="M237" s="675"/>
      <c r="N237" s="675"/>
      <c r="O237" s="675"/>
      <c r="P237" s="675"/>
      <c r="Q237" s="675"/>
      <c r="R237" s="675"/>
      <c r="S237" s="675"/>
      <c r="T237" s="675"/>
      <c r="U237" s="8"/>
      <c r="V237" s="8"/>
      <c r="W237" s="8"/>
      <c r="X237" s="8"/>
      <c r="Y237" s="8"/>
      <c r="Z237" s="8"/>
      <c r="AA237" s="8"/>
      <c r="AB237" s="8"/>
      <c r="AC237" s="8"/>
    </row>
    <row r="238" ht="12.75" customHeight="1" spans="1:29" x14ac:dyDescent="0.25">
      <c r="A238" s="8"/>
      <c r="B238" s="8"/>
      <c r="C238" s="8"/>
      <c r="D238" s="8"/>
      <c r="E238" s="8"/>
      <c r="F238" s="8"/>
      <c r="G238" s="8"/>
      <c r="H238" s="675"/>
      <c r="I238" s="675"/>
      <c r="J238" s="675"/>
      <c r="K238" s="675"/>
      <c r="L238" s="675"/>
      <c r="M238" s="675"/>
      <c r="N238" s="675"/>
      <c r="O238" s="675"/>
      <c r="P238" s="675"/>
      <c r="Q238" s="675"/>
      <c r="R238" s="675"/>
      <c r="S238" s="675"/>
      <c r="T238" s="675"/>
      <c r="U238" s="8"/>
      <c r="V238" s="8"/>
      <c r="W238" s="8"/>
      <c r="X238" s="8"/>
      <c r="Y238" s="8"/>
      <c r="Z238" s="8"/>
      <c r="AA238" s="8"/>
      <c r="AB238" s="8"/>
      <c r="AC238" s="8"/>
    </row>
    <row r="239" ht="12.75" customHeight="1" spans="1:29" x14ac:dyDescent="0.25">
      <c r="A239" s="8"/>
      <c r="B239" s="8"/>
      <c r="C239" s="8"/>
      <c r="D239" s="8"/>
      <c r="E239" s="8"/>
      <c r="F239" s="8"/>
      <c r="G239" s="8"/>
      <c r="H239" s="675"/>
      <c r="I239" s="675"/>
      <c r="J239" s="675"/>
      <c r="K239" s="675"/>
      <c r="L239" s="675"/>
      <c r="M239" s="675"/>
      <c r="N239" s="675"/>
      <c r="O239" s="675"/>
      <c r="P239" s="675"/>
      <c r="Q239" s="675"/>
      <c r="R239" s="675"/>
      <c r="S239" s="675"/>
      <c r="T239" s="675"/>
      <c r="U239" s="8"/>
      <c r="V239" s="8"/>
      <c r="W239" s="8"/>
      <c r="X239" s="8"/>
      <c r="Y239" s="8"/>
      <c r="Z239" s="8"/>
      <c r="AA239" s="8"/>
      <c r="AB239" s="8"/>
      <c r="AC239" s="8"/>
    </row>
    <row r="240" ht="12.75" customHeight="1" spans="1:29" x14ac:dyDescent="0.25">
      <c r="A240" s="8"/>
      <c r="B240" s="8"/>
      <c r="C240" s="8"/>
      <c r="D240" s="8"/>
      <c r="E240" s="8"/>
      <c r="F240" s="8"/>
      <c r="G240" s="8"/>
      <c r="H240" s="675"/>
      <c r="I240" s="675"/>
      <c r="J240" s="675"/>
      <c r="K240" s="675"/>
      <c r="L240" s="675"/>
      <c r="M240" s="675"/>
      <c r="N240" s="675"/>
      <c r="O240" s="675"/>
      <c r="P240" s="675"/>
      <c r="Q240" s="675"/>
      <c r="R240" s="675"/>
      <c r="S240" s="675"/>
      <c r="T240" s="675"/>
      <c r="U240" s="8"/>
      <c r="V240" s="8"/>
      <c r="W240" s="8"/>
      <c r="X240" s="8"/>
      <c r="Y240" s="8"/>
      <c r="Z240" s="8"/>
      <c r="AA240" s="8"/>
      <c r="AB240" s="8"/>
      <c r="AC240" s="8"/>
    </row>
    <row r="241" ht="12.75" customHeight="1" spans="1:29" x14ac:dyDescent="0.25">
      <c r="A241" s="8"/>
      <c r="B241" s="8"/>
      <c r="C241" s="8"/>
      <c r="D241" s="8"/>
      <c r="E241" s="8"/>
      <c r="F241" s="8"/>
      <c r="G241" s="8"/>
      <c r="H241" s="675"/>
      <c r="I241" s="675"/>
      <c r="J241" s="675"/>
      <c r="K241" s="675"/>
      <c r="L241" s="675"/>
      <c r="M241" s="675"/>
      <c r="N241" s="675"/>
      <c r="O241" s="675"/>
      <c r="P241" s="675"/>
      <c r="Q241" s="675"/>
      <c r="R241" s="675"/>
      <c r="S241" s="675"/>
      <c r="T241" s="675"/>
      <c r="U241" s="8"/>
      <c r="V241" s="8"/>
      <c r="W241" s="8"/>
      <c r="X241" s="8"/>
      <c r="Y241" s="8"/>
      <c r="Z241" s="8"/>
      <c r="AA241" s="8"/>
      <c r="AB241" s="8"/>
      <c r="AC241" s="8"/>
    </row>
    <row r="242" ht="12.75" customHeight="1" spans="1:29" x14ac:dyDescent="0.25">
      <c r="A242" s="8"/>
      <c r="B242" s="8"/>
      <c r="C242" s="8"/>
      <c r="D242" s="8"/>
      <c r="E242" s="8"/>
      <c r="F242" s="8"/>
      <c r="G242" s="8"/>
      <c r="H242" s="675"/>
      <c r="I242" s="675"/>
      <c r="J242" s="675"/>
      <c r="K242" s="675"/>
      <c r="L242" s="675"/>
      <c r="M242" s="675"/>
      <c r="N242" s="675"/>
      <c r="O242" s="675"/>
      <c r="P242" s="675"/>
      <c r="Q242" s="675"/>
      <c r="R242" s="675"/>
      <c r="S242" s="675"/>
      <c r="T242" s="675"/>
      <c r="U242" s="8"/>
      <c r="V242" s="8"/>
      <c r="W242" s="8"/>
      <c r="X242" s="8"/>
      <c r="Y242" s="8"/>
      <c r="Z242" s="8"/>
      <c r="AA242" s="8"/>
      <c r="AB242" s="8"/>
      <c r="AC242" s="8"/>
    </row>
    <row r="243" ht="12.75" customHeight="1" spans="1:29" x14ac:dyDescent="0.25">
      <c r="A243" s="8"/>
      <c r="B243" s="8"/>
      <c r="C243" s="8"/>
      <c r="D243" s="8"/>
      <c r="E243" s="8"/>
      <c r="F243" s="8"/>
      <c r="G243" s="8"/>
      <c r="H243" s="675"/>
      <c r="I243" s="675"/>
      <c r="J243" s="675"/>
      <c r="K243" s="675"/>
      <c r="L243" s="675"/>
      <c r="M243" s="675"/>
      <c r="N243" s="675"/>
      <c r="O243" s="675"/>
      <c r="P243" s="675"/>
      <c r="Q243" s="675"/>
      <c r="R243" s="675"/>
      <c r="S243" s="675"/>
      <c r="T243" s="675"/>
      <c r="U243" s="8"/>
      <c r="V243" s="8"/>
      <c r="W243" s="8"/>
      <c r="X243" s="8"/>
      <c r="Y243" s="8"/>
      <c r="Z243" s="8"/>
      <c r="AA243" s="8"/>
      <c r="AB243" s="8"/>
      <c r="AC243" s="8"/>
    </row>
    <row r="244" ht="12.75" customHeight="1" spans="1:29" x14ac:dyDescent="0.25">
      <c r="A244" s="8"/>
      <c r="B244" s="8"/>
      <c r="C244" s="8"/>
      <c r="D244" s="8"/>
      <c r="E244" s="8"/>
      <c r="F244" s="8"/>
      <c r="G244" s="8"/>
      <c r="H244" s="675"/>
      <c r="I244" s="675"/>
      <c r="J244" s="675"/>
      <c r="K244" s="675"/>
      <c r="L244" s="675"/>
      <c r="M244" s="675"/>
      <c r="N244" s="675"/>
      <c r="O244" s="675"/>
      <c r="P244" s="675"/>
      <c r="Q244" s="675"/>
      <c r="R244" s="675"/>
      <c r="S244" s="675"/>
      <c r="T244" s="675"/>
      <c r="U244" s="8"/>
      <c r="V244" s="8"/>
      <c r="W244" s="8"/>
      <c r="X244" s="8"/>
      <c r="Y244" s="8"/>
      <c r="Z244" s="8"/>
      <c r="AA244" s="8"/>
      <c r="AB244" s="8"/>
      <c r="AC244" s="8"/>
    </row>
    <row r="245" ht="12.75" customHeight="1" spans="1:29" x14ac:dyDescent="0.25">
      <c r="A245" s="8"/>
      <c r="B245" s="8"/>
      <c r="C245" s="8"/>
      <c r="D245" s="8"/>
      <c r="E245" s="8"/>
      <c r="F245" s="8"/>
      <c r="G245" s="8"/>
      <c r="H245" s="675"/>
      <c r="I245" s="675"/>
      <c r="J245" s="675"/>
      <c r="K245" s="675"/>
      <c r="L245" s="675"/>
      <c r="M245" s="675"/>
      <c r="N245" s="675"/>
      <c r="O245" s="675"/>
      <c r="P245" s="675"/>
      <c r="Q245" s="675"/>
      <c r="R245" s="675"/>
      <c r="S245" s="675"/>
      <c r="T245" s="675"/>
      <c r="U245" s="8"/>
      <c r="V245" s="8"/>
      <c r="W245" s="8"/>
      <c r="X245" s="8"/>
      <c r="Y245" s="8"/>
      <c r="Z245" s="8"/>
      <c r="AA245" s="8"/>
      <c r="AB245" s="8"/>
      <c r="AC245" s="8"/>
    </row>
    <row r="246" ht="12.75" customHeight="1" spans="1:29" x14ac:dyDescent="0.25">
      <c r="A246" s="8"/>
      <c r="B246" s="8"/>
      <c r="C246" s="8"/>
      <c r="D246" s="8"/>
      <c r="E246" s="8"/>
      <c r="F246" s="8"/>
      <c r="G246" s="8"/>
      <c r="H246" s="675"/>
      <c r="I246" s="675"/>
      <c r="J246" s="675"/>
      <c r="K246" s="675"/>
      <c r="L246" s="675"/>
      <c r="M246" s="675"/>
      <c r="N246" s="675"/>
      <c r="O246" s="675"/>
      <c r="P246" s="675"/>
      <c r="Q246" s="675"/>
      <c r="R246" s="675"/>
      <c r="S246" s="675"/>
      <c r="T246" s="675"/>
      <c r="U246" s="8"/>
      <c r="V246" s="8"/>
      <c r="W246" s="8"/>
      <c r="X246" s="8"/>
      <c r="Y246" s="8"/>
      <c r="Z246" s="8"/>
      <c r="AA246" s="8"/>
      <c r="AB246" s="8"/>
      <c r="AC246" s="8"/>
    </row>
    <row r="247" ht="12.75" customHeight="1" spans="1:29" x14ac:dyDescent="0.25">
      <c r="A247" s="8"/>
      <c r="B247" s="8"/>
      <c r="C247" s="8"/>
      <c r="D247" s="8"/>
      <c r="E247" s="8"/>
      <c r="F247" s="8"/>
      <c r="G247" s="8"/>
      <c r="H247" s="675"/>
      <c r="I247" s="675"/>
      <c r="J247" s="675"/>
      <c r="K247" s="675"/>
      <c r="L247" s="675"/>
      <c r="M247" s="675"/>
      <c r="N247" s="675"/>
      <c r="O247" s="675"/>
      <c r="P247" s="675"/>
      <c r="Q247" s="675"/>
      <c r="R247" s="675"/>
      <c r="S247" s="675"/>
      <c r="T247" s="675"/>
      <c r="U247" s="8"/>
      <c r="V247" s="8"/>
      <c r="W247" s="8"/>
      <c r="X247" s="8"/>
      <c r="Y247" s="8"/>
      <c r="Z247" s="8"/>
      <c r="AA247" s="8"/>
      <c r="AB247" s="8"/>
      <c r="AC247" s="8"/>
    </row>
    <row r="248" ht="12.75" customHeight="1" spans="1:29" x14ac:dyDescent="0.25">
      <c r="A248" s="8"/>
      <c r="B248" s="8"/>
      <c r="C248" s="8"/>
      <c r="D248" s="8"/>
      <c r="E248" s="8"/>
      <c r="F248" s="8"/>
      <c r="G248" s="8"/>
      <c r="H248" s="675"/>
      <c r="I248" s="675"/>
      <c r="J248" s="675"/>
      <c r="K248" s="675"/>
      <c r="L248" s="675"/>
      <c r="M248" s="675"/>
      <c r="N248" s="675"/>
      <c r="O248" s="675"/>
      <c r="P248" s="675"/>
      <c r="Q248" s="675"/>
      <c r="R248" s="675"/>
      <c r="S248" s="675"/>
      <c r="T248" s="675"/>
      <c r="U248" s="8"/>
      <c r="V248" s="8"/>
      <c r="W248" s="8"/>
      <c r="X248" s="8"/>
      <c r="Y248" s="8"/>
      <c r="Z248" s="8"/>
      <c r="AA248" s="8"/>
      <c r="AB248" s="8"/>
      <c r="AC248" s="8"/>
    </row>
    <row r="249" ht="12.75" customHeight="1" spans="1:29" x14ac:dyDescent="0.25">
      <c r="A249" s="8"/>
      <c r="B249" s="8"/>
      <c r="C249" s="8"/>
      <c r="D249" s="8"/>
      <c r="E249" s="8"/>
      <c r="F249" s="8"/>
      <c r="G249" s="8"/>
      <c r="H249" s="675"/>
      <c r="I249" s="675"/>
      <c r="J249" s="675"/>
      <c r="K249" s="675"/>
      <c r="L249" s="675"/>
      <c r="M249" s="675"/>
      <c r="N249" s="675"/>
      <c r="O249" s="675"/>
      <c r="P249" s="675"/>
      <c r="Q249" s="675"/>
      <c r="R249" s="675"/>
      <c r="S249" s="675"/>
      <c r="T249" s="675"/>
      <c r="U249" s="8"/>
      <c r="V249" s="8"/>
      <c r="W249" s="8"/>
      <c r="X249" s="8"/>
      <c r="Y249" s="8"/>
      <c r="Z249" s="8"/>
      <c r="AA249" s="8"/>
      <c r="AB249" s="8"/>
      <c r="AC249" s="8"/>
    </row>
    <row r="250" ht="12.75" customHeight="1" spans="1:29" x14ac:dyDescent="0.25">
      <c r="A250" s="8"/>
      <c r="B250" s="8"/>
      <c r="C250" s="8"/>
      <c r="D250" s="8"/>
      <c r="E250" s="8"/>
      <c r="F250" s="8"/>
      <c r="G250" s="8"/>
      <c r="H250" s="675"/>
      <c r="I250" s="675"/>
      <c r="J250" s="675"/>
      <c r="K250" s="675"/>
      <c r="L250" s="675"/>
      <c r="M250" s="675"/>
      <c r="N250" s="675"/>
      <c r="O250" s="675"/>
      <c r="P250" s="675"/>
      <c r="Q250" s="675"/>
      <c r="R250" s="675"/>
      <c r="S250" s="675"/>
      <c r="T250" s="675"/>
      <c r="U250" s="8"/>
      <c r="V250" s="8"/>
      <c r="W250" s="8"/>
      <c r="X250" s="8"/>
      <c r="Y250" s="8"/>
      <c r="Z250" s="8"/>
      <c r="AA250" s="8"/>
      <c r="AB250" s="8"/>
      <c r="AC250" s="8"/>
    </row>
    <row r="251" ht="12.75" customHeight="1" spans="1:29" x14ac:dyDescent="0.25">
      <c r="A251" s="8"/>
      <c r="B251" s="8"/>
      <c r="C251" s="8"/>
      <c r="D251" s="8"/>
      <c r="E251" s="8"/>
      <c r="F251" s="8"/>
      <c r="G251" s="8"/>
      <c r="H251" s="675"/>
      <c r="I251" s="675"/>
      <c r="J251" s="675"/>
      <c r="K251" s="675"/>
      <c r="L251" s="675"/>
      <c r="M251" s="675"/>
      <c r="N251" s="675"/>
      <c r="O251" s="675"/>
      <c r="P251" s="675"/>
      <c r="Q251" s="675"/>
      <c r="R251" s="675"/>
      <c r="S251" s="675"/>
      <c r="T251" s="675"/>
      <c r="U251" s="8"/>
      <c r="V251" s="8"/>
      <c r="W251" s="8"/>
      <c r="X251" s="8"/>
      <c r="Y251" s="8"/>
      <c r="Z251" s="8"/>
      <c r="AA251" s="8"/>
      <c r="AB251" s="8"/>
      <c r="AC251" s="8"/>
    </row>
    <row r="252" ht="12.75" customHeight="1" spans="1:29" x14ac:dyDescent="0.25">
      <c r="A252" s="8"/>
      <c r="B252" s="8"/>
      <c r="C252" s="8"/>
      <c r="D252" s="8"/>
      <c r="E252" s="8"/>
      <c r="F252" s="8"/>
      <c r="G252" s="8"/>
      <c r="H252" s="675"/>
      <c r="I252" s="675"/>
      <c r="J252" s="675"/>
      <c r="K252" s="675"/>
      <c r="L252" s="675"/>
      <c r="M252" s="675"/>
      <c r="N252" s="675"/>
      <c r="O252" s="675"/>
      <c r="P252" s="675"/>
      <c r="Q252" s="675"/>
      <c r="R252" s="675"/>
      <c r="S252" s="675"/>
      <c r="T252" s="675"/>
      <c r="U252" s="8"/>
      <c r="V252" s="8"/>
      <c r="W252" s="8"/>
      <c r="X252" s="8"/>
      <c r="Y252" s="8"/>
      <c r="Z252" s="8"/>
      <c r="AA252" s="8"/>
      <c r="AB252" s="8"/>
      <c r="AC252" s="8"/>
    </row>
    <row r="253" ht="12.75" customHeight="1" spans="1:29" x14ac:dyDescent="0.25">
      <c r="A253" s="8"/>
      <c r="B253" s="8"/>
      <c r="C253" s="8"/>
      <c r="D253" s="8"/>
      <c r="E253" s="8"/>
      <c r="F253" s="8"/>
      <c r="G253" s="8"/>
      <c r="H253" s="675"/>
      <c r="I253" s="675"/>
      <c r="J253" s="675"/>
      <c r="K253" s="675"/>
      <c r="L253" s="675"/>
      <c r="M253" s="675"/>
      <c r="N253" s="675"/>
      <c r="O253" s="675"/>
      <c r="P253" s="675"/>
      <c r="Q253" s="675"/>
      <c r="R253" s="675"/>
      <c r="S253" s="675"/>
      <c r="T253" s="675"/>
      <c r="U253" s="8"/>
      <c r="V253" s="8"/>
      <c r="W253" s="8"/>
      <c r="X253" s="8"/>
      <c r="Y253" s="8"/>
      <c r="Z253" s="8"/>
      <c r="AA253" s="8"/>
      <c r="AB253" s="8"/>
      <c r="AC253" s="8"/>
    </row>
    <row r="254" ht="12.75" customHeight="1" spans="1:29" x14ac:dyDescent="0.25">
      <c r="A254" s="8"/>
      <c r="B254" s="8"/>
      <c r="C254" s="8"/>
      <c r="D254" s="8"/>
      <c r="E254" s="8"/>
      <c r="F254" s="8"/>
      <c r="G254" s="8"/>
      <c r="H254" s="675"/>
      <c r="I254" s="675"/>
      <c r="J254" s="675"/>
      <c r="K254" s="675"/>
      <c r="L254" s="675"/>
      <c r="M254" s="675"/>
      <c r="N254" s="675"/>
      <c r="O254" s="675"/>
      <c r="P254" s="675"/>
      <c r="Q254" s="675"/>
      <c r="R254" s="675"/>
      <c r="S254" s="675"/>
      <c r="T254" s="675"/>
      <c r="U254" s="8"/>
      <c r="V254" s="8"/>
      <c r="W254" s="8"/>
      <c r="X254" s="8"/>
      <c r="Y254" s="8"/>
      <c r="Z254" s="8"/>
      <c r="AA254" s="8"/>
      <c r="AB254" s="8"/>
      <c r="AC254" s="8"/>
    </row>
    <row r="255" ht="12.75" customHeight="1" spans="1:29" x14ac:dyDescent="0.25">
      <c r="A255" s="8"/>
      <c r="B255" s="8"/>
      <c r="C255" s="8"/>
      <c r="D255" s="8"/>
      <c r="E255" s="8"/>
      <c r="F255" s="8"/>
      <c r="G255" s="8"/>
      <c r="H255" s="675"/>
      <c r="I255" s="675"/>
      <c r="J255" s="675"/>
      <c r="K255" s="675"/>
      <c r="L255" s="675"/>
      <c r="M255" s="675"/>
      <c r="N255" s="675"/>
      <c r="O255" s="675"/>
      <c r="P255" s="675"/>
      <c r="Q255" s="675"/>
      <c r="R255" s="675"/>
      <c r="S255" s="675"/>
      <c r="T255" s="675"/>
      <c r="U255" s="8"/>
      <c r="V255" s="8"/>
      <c r="W255" s="8"/>
      <c r="X255" s="8"/>
      <c r="Y255" s="8"/>
      <c r="Z255" s="8"/>
      <c r="AA255" s="8"/>
      <c r="AB255" s="8"/>
      <c r="AC255" s="8"/>
    </row>
    <row r="256" ht="12.75" customHeight="1" spans="1:29" x14ac:dyDescent="0.25">
      <c r="A256" s="8"/>
      <c r="B256" s="8"/>
      <c r="C256" s="8"/>
      <c r="D256" s="8"/>
      <c r="E256" s="8"/>
      <c r="F256" s="8"/>
      <c r="G256" s="8"/>
      <c r="H256" s="675"/>
      <c r="I256" s="675"/>
      <c r="J256" s="675"/>
      <c r="K256" s="675"/>
      <c r="L256" s="675"/>
      <c r="M256" s="675"/>
      <c r="N256" s="675"/>
      <c r="O256" s="675"/>
      <c r="P256" s="675"/>
      <c r="Q256" s="675"/>
      <c r="R256" s="675"/>
      <c r="S256" s="675"/>
      <c r="T256" s="675"/>
      <c r="U256" s="8"/>
      <c r="V256" s="8"/>
      <c r="W256" s="8"/>
      <c r="X256" s="8"/>
      <c r="Y256" s="8"/>
      <c r="Z256" s="8"/>
      <c r="AA256" s="8"/>
      <c r="AB256" s="8"/>
      <c r="AC256" s="8"/>
    </row>
    <row r="257" ht="12.75" customHeight="1" spans="1:29" x14ac:dyDescent="0.25">
      <c r="A257" s="8"/>
      <c r="B257" s="8"/>
      <c r="C257" s="8"/>
      <c r="D257" s="8"/>
      <c r="E257" s="8"/>
      <c r="F257" s="8"/>
      <c r="G257" s="8"/>
      <c r="H257" s="675"/>
      <c r="I257" s="675"/>
      <c r="J257" s="675"/>
      <c r="K257" s="675"/>
      <c r="L257" s="675"/>
      <c r="M257" s="675"/>
      <c r="N257" s="675"/>
      <c r="O257" s="675"/>
      <c r="P257" s="675"/>
      <c r="Q257" s="675"/>
      <c r="R257" s="675"/>
      <c r="S257" s="675"/>
      <c r="T257" s="675"/>
      <c r="U257" s="8"/>
      <c r="V257" s="8"/>
      <c r="W257" s="8"/>
      <c r="X257" s="8"/>
      <c r="Y257" s="8"/>
      <c r="Z257" s="8"/>
      <c r="AA257" s="8"/>
      <c r="AB257" s="8"/>
      <c r="AC257" s="8"/>
    </row>
    <row r="258" ht="12.75" customHeight="1" spans="1:29" x14ac:dyDescent="0.25">
      <c r="A258" s="8"/>
      <c r="B258" s="8"/>
      <c r="C258" s="8"/>
      <c r="D258" s="8"/>
      <c r="E258" s="8"/>
      <c r="F258" s="8"/>
      <c r="G258" s="8"/>
      <c r="H258" s="675"/>
      <c r="I258" s="675"/>
      <c r="J258" s="675"/>
      <c r="K258" s="675"/>
      <c r="L258" s="675"/>
      <c r="M258" s="675"/>
      <c r="N258" s="675"/>
      <c r="O258" s="675"/>
      <c r="P258" s="675"/>
      <c r="Q258" s="675"/>
      <c r="R258" s="675"/>
      <c r="S258" s="675"/>
      <c r="T258" s="675"/>
      <c r="U258" s="8"/>
      <c r="V258" s="8"/>
      <c r="W258" s="8"/>
      <c r="X258" s="8"/>
      <c r="Y258" s="8"/>
      <c r="Z258" s="8"/>
      <c r="AA258" s="8"/>
      <c r="AB258" s="8"/>
      <c r="AC258" s="8"/>
    </row>
    <row r="259" ht="12.75" customHeight="1" spans="1:29" x14ac:dyDescent="0.25">
      <c r="A259" s="8"/>
      <c r="B259" s="8"/>
      <c r="C259" s="8"/>
      <c r="D259" s="8"/>
      <c r="E259" s="8"/>
      <c r="F259" s="8"/>
      <c r="G259" s="8"/>
      <c r="H259" s="675"/>
      <c r="I259" s="675"/>
      <c r="J259" s="675"/>
      <c r="K259" s="675"/>
      <c r="L259" s="675"/>
      <c r="M259" s="675"/>
      <c r="N259" s="675"/>
      <c r="O259" s="675"/>
      <c r="P259" s="675"/>
      <c r="Q259" s="675"/>
      <c r="R259" s="675"/>
      <c r="S259" s="675"/>
      <c r="T259" s="675"/>
      <c r="U259" s="8"/>
      <c r="V259" s="8"/>
      <c r="W259" s="8"/>
      <c r="X259" s="8"/>
      <c r="Y259" s="8"/>
      <c r="Z259" s="8"/>
      <c r="AA259" s="8"/>
      <c r="AB259" s="8"/>
      <c r="AC259" s="8"/>
    </row>
    <row r="260" ht="12.75" customHeight="1" spans="1:29" x14ac:dyDescent="0.25">
      <c r="A260" s="8"/>
      <c r="B260" s="8"/>
      <c r="C260" s="8"/>
      <c r="D260" s="8"/>
      <c r="E260" s="8"/>
      <c r="F260" s="8"/>
      <c r="G260" s="8"/>
      <c r="H260" s="675"/>
      <c r="I260" s="675"/>
      <c r="J260" s="675"/>
      <c r="K260" s="675"/>
      <c r="L260" s="675"/>
      <c r="M260" s="675"/>
      <c r="N260" s="675"/>
      <c r="O260" s="675"/>
      <c r="P260" s="675"/>
      <c r="Q260" s="675"/>
      <c r="R260" s="675"/>
      <c r="S260" s="675"/>
      <c r="T260" s="675"/>
      <c r="U260" s="8"/>
      <c r="V260" s="8"/>
      <c r="W260" s="8"/>
      <c r="X260" s="8"/>
      <c r="Y260" s="8"/>
      <c r="Z260" s="8"/>
      <c r="AA260" s="8"/>
      <c r="AB260" s="8"/>
      <c r="AC260" s="8"/>
    </row>
    <row r="261" ht="12.75" customHeight="1" spans="1:29" x14ac:dyDescent="0.25">
      <c r="A261" s="8"/>
      <c r="B261" s="8"/>
      <c r="C261" s="8"/>
      <c r="D261" s="8"/>
      <c r="E261" s="8"/>
      <c r="F261" s="8"/>
      <c r="G261" s="8"/>
      <c r="H261" s="675"/>
      <c r="I261" s="675"/>
      <c r="J261" s="675"/>
      <c r="K261" s="675"/>
      <c r="L261" s="675"/>
      <c r="M261" s="675"/>
      <c r="N261" s="675"/>
      <c r="O261" s="675"/>
      <c r="P261" s="675"/>
      <c r="Q261" s="675"/>
      <c r="R261" s="675"/>
      <c r="S261" s="675"/>
      <c r="T261" s="675"/>
      <c r="U261" s="8"/>
      <c r="V261" s="8"/>
      <c r="W261" s="8"/>
      <c r="X261" s="8"/>
      <c r="Y261" s="8"/>
      <c r="Z261" s="8"/>
      <c r="AA261" s="8"/>
      <c r="AB261" s="8"/>
      <c r="AC261" s="8"/>
    </row>
    <row r="262" ht="12.75" customHeight="1" spans="1:29" x14ac:dyDescent="0.25">
      <c r="A262" s="8"/>
      <c r="B262" s="8"/>
      <c r="C262" s="8"/>
      <c r="D262" s="8"/>
      <c r="E262" s="8"/>
      <c r="F262" s="8"/>
      <c r="G262" s="8"/>
      <c r="H262" s="675"/>
      <c r="I262" s="675"/>
      <c r="J262" s="675"/>
      <c r="K262" s="675"/>
      <c r="L262" s="675"/>
      <c r="M262" s="675"/>
      <c r="N262" s="675"/>
      <c r="O262" s="675"/>
      <c r="P262" s="675"/>
      <c r="Q262" s="675"/>
      <c r="R262" s="675"/>
      <c r="S262" s="675"/>
      <c r="T262" s="675"/>
      <c r="U262" s="8"/>
      <c r="V262" s="8"/>
      <c r="W262" s="8"/>
      <c r="X262" s="8"/>
      <c r="Y262" s="8"/>
      <c r="Z262" s="8"/>
      <c r="AA262" s="8"/>
      <c r="AB262" s="8"/>
      <c r="AC262" s="8"/>
    </row>
    <row r="263" ht="12.75" customHeight="1" spans="1:29" x14ac:dyDescent="0.25">
      <c r="A263" s="8"/>
      <c r="B263" s="8"/>
      <c r="C263" s="8"/>
      <c r="D263" s="8"/>
      <c r="E263" s="8"/>
      <c r="F263" s="8"/>
      <c r="G263" s="8"/>
      <c r="H263" s="675"/>
      <c r="I263" s="675"/>
      <c r="J263" s="675"/>
      <c r="K263" s="675"/>
      <c r="L263" s="675"/>
      <c r="M263" s="675"/>
      <c r="N263" s="675"/>
      <c r="O263" s="675"/>
      <c r="P263" s="675"/>
      <c r="Q263" s="675"/>
      <c r="R263" s="675"/>
      <c r="S263" s="675"/>
      <c r="T263" s="675"/>
      <c r="U263" s="8"/>
      <c r="V263" s="8"/>
      <c r="W263" s="8"/>
      <c r="X263" s="8"/>
      <c r="Y263" s="8"/>
      <c r="Z263" s="8"/>
      <c r="AA263" s="8"/>
      <c r="AB263" s="8"/>
      <c r="AC263" s="8"/>
    </row>
    <row r="264" ht="12.75" customHeight="1" spans="1:29" x14ac:dyDescent="0.25">
      <c r="A264" s="8"/>
      <c r="B264" s="8"/>
      <c r="C264" s="8"/>
      <c r="D264" s="8"/>
      <c r="E264" s="8"/>
      <c r="F264" s="8"/>
      <c r="G264" s="8"/>
      <c r="H264" s="675"/>
      <c r="I264" s="675"/>
      <c r="J264" s="675"/>
      <c r="K264" s="675"/>
      <c r="L264" s="675"/>
      <c r="M264" s="675"/>
      <c r="N264" s="675"/>
      <c r="O264" s="675"/>
      <c r="P264" s="675"/>
      <c r="Q264" s="675"/>
      <c r="R264" s="675"/>
      <c r="S264" s="675"/>
      <c r="T264" s="675"/>
      <c r="U264" s="8"/>
      <c r="V264" s="8"/>
      <c r="W264" s="8"/>
      <c r="X264" s="8"/>
      <c r="Y264" s="8"/>
      <c r="Z264" s="8"/>
      <c r="AA264" s="8"/>
      <c r="AB264" s="8"/>
      <c r="AC264" s="8"/>
    </row>
    <row r="265" ht="12.75" customHeight="1" spans="1:29" x14ac:dyDescent="0.25">
      <c r="A265" s="8"/>
      <c r="B265" s="8"/>
      <c r="C265" s="8"/>
      <c r="D265" s="8"/>
      <c r="E265" s="8"/>
      <c r="F265" s="8"/>
      <c r="G265" s="8"/>
      <c r="H265" s="675"/>
      <c r="I265" s="675"/>
      <c r="J265" s="675"/>
      <c r="K265" s="675"/>
      <c r="L265" s="675"/>
      <c r="M265" s="675"/>
      <c r="N265" s="675"/>
      <c r="O265" s="675"/>
      <c r="P265" s="675"/>
      <c r="Q265" s="675"/>
      <c r="R265" s="675"/>
      <c r="S265" s="675"/>
      <c r="T265" s="675"/>
      <c r="U265" s="8"/>
      <c r="V265" s="8"/>
      <c r="W265" s="8"/>
      <c r="X265" s="8"/>
      <c r="Y265" s="8"/>
      <c r="Z265" s="8"/>
      <c r="AA265" s="8"/>
      <c r="AB265" s="8"/>
      <c r="AC265" s="8"/>
    </row>
    <row r="266" ht="12.75" customHeight="1" spans="1:29" x14ac:dyDescent="0.25">
      <c r="A266" s="8"/>
      <c r="B266" s="8"/>
      <c r="C266" s="8"/>
      <c r="D266" s="8"/>
      <c r="E266" s="8"/>
      <c r="F266" s="8"/>
      <c r="G266" s="8"/>
      <c r="H266" s="675"/>
      <c r="I266" s="675"/>
      <c r="J266" s="675"/>
      <c r="K266" s="675"/>
      <c r="L266" s="675"/>
      <c r="M266" s="675"/>
      <c r="N266" s="675"/>
      <c r="O266" s="675"/>
      <c r="P266" s="675"/>
      <c r="Q266" s="675"/>
      <c r="R266" s="675"/>
      <c r="S266" s="675"/>
      <c r="T266" s="675"/>
      <c r="U266" s="8"/>
      <c r="V266" s="8"/>
      <c r="W266" s="8"/>
      <c r="X266" s="8"/>
      <c r="Y266" s="8"/>
      <c r="Z266" s="8"/>
      <c r="AA266" s="8"/>
      <c r="AB266" s="8"/>
      <c r="AC266" s="8"/>
    </row>
    <row r="267" ht="12.75" customHeight="1" spans="1:29" x14ac:dyDescent="0.25">
      <c r="A267" s="8"/>
      <c r="B267" s="8"/>
      <c r="C267" s="8"/>
      <c r="D267" s="8"/>
      <c r="E267" s="8"/>
      <c r="F267" s="8"/>
      <c r="G267" s="8"/>
      <c r="H267" s="675"/>
      <c r="I267" s="675"/>
      <c r="J267" s="675"/>
      <c r="K267" s="675"/>
      <c r="L267" s="675"/>
      <c r="M267" s="675"/>
      <c r="N267" s="675"/>
      <c r="O267" s="675"/>
      <c r="P267" s="675"/>
      <c r="Q267" s="675"/>
      <c r="R267" s="675"/>
      <c r="S267" s="675"/>
      <c r="T267" s="675"/>
      <c r="U267" s="8"/>
      <c r="V267" s="8"/>
      <c r="W267" s="8"/>
      <c r="X267" s="8"/>
      <c r="Y267" s="8"/>
      <c r="Z267" s="8"/>
      <c r="AA267" s="8"/>
      <c r="AB267" s="8"/>
      <c r="AC267" s="8"/>
    </row>
    <row r="268" ht="12.75" customHeight="1" spans="1:29" x14ac:dyDescent="0.25">
      <c r="A268" s="8"/>
      <c r="B268" s="8"/>
      <c r="C268" s="8"/>
      <c r="D268" s="8"/>
      <c r="E268" s="8"/>
      <c r="F268" s="8"/>
      <c r="G268" s="8"/>
      <c r="H268" s="675"/>
      <c r="I268" s="675"/>
      <c r="J268" s="675"/>
      <c r="K268" s="675"/>
      <c r="L268" s="675"/>
      <c r="M268" s="675"/>
      <c r="N268" s="675"/>
      <c r="O268" s="675"/>
      <c r="P268" s="675"/>
      <c r="Q268" s="675"/>
      <c r="R268" s="675"/>
      <c r="S268" s="675"/>
      <c r="T268" s="675"/>
      <c r="U268" s="8"/>
      <c r="V268" s="8"/>
      <c r="W268" s="8"/>
      <c r="X268" s="8"/>
      <c r="Y268" s="8"/>
      <c r="Z268" s="8"/>
      <c r="AA268" s="8"/>
      <c r="AB268" s="8"/>
      <c r="AC268" s="8"/>
    </row>
    <row r="269" ht="12.75" customHeight="1" spans="1:29" x14ac:dyDescent="0.25">
      <c r="A269" s="8"/>
      <c r="B269" s="8"/>
      <c r="C269" s="8"/>
      <c r="D269" s="8"/>
      <c r="E269" s="8"/>
      <c r="F269" s="8"/>
      <c r="G269" s="8"/>
      <c r="H269" s="675"/>
      <c r="I269" s="675"/>
      <c r="J269" s="675"/>
      <c r="K269" s="675"/>
      <c r="L269" s="675"/>
      <c r="M269" s="675"/>
      <c r="N269" s="675"/>
      <c r="O269" s="675"/>
      <c r="P269" s="675"/>
      <c r="Q269" s="675"/>
      <c r="R269" s="675"/>
      <c r="S269" s="675"/>
      <c r="T269" s="675"/>
      <c r="U269" s="8"/>
      <c r="V269" s="8"/>
      <c r="W269" s="8"/>
      <c r="X269" s="8"/>
      <c r="Y269" s="8"/>
      <c r="Z269" s="8"/>
      <c r="AA269" s="8"/>
      <c r="AB269" s="8"/>
      <c r="AC269" s="8"/>
    </row>
    <row r="270" ht="12.75" customHeight="1" spans="1:29" x14ac:dyDescent="0.25">
      <c r="A270" s="8"/>
      <c r="B270" s="8"/>
      <c r="C270" s="8"/>
      <c r="D270" s="8"/>
      <c r="E270" s="8"/>
      <c r="F270" s="8"/>
      <c r="G270" s="8"/>
      <c r="H270" s="675"/>
      <c r="I270" s="675"/>
      <c r="J270" s="675"/>
      <c r="K270" s="675"/>
      <c r="L270" s="675"/>
      <c r="M270" s="675"/>
      <c r="N270" s="675"/>
      <c r="O270" s="675"/>
      <c r="P270" s="675"/>
      <c r="Q270" s="675"/>
      <c r="R270" s="675"/>
      <c r="S270" s="675"/>
      <c r="T270" s="675"/>
      <c r="U270" s="8"/>
      <c r="V270" s="8"/>
      <c r="W270" s="8"/>
      <c r="X270" s="8"/>
      <c r="Y270" s="8"/>
      <c r="Z270" s="8"/>
      <c r="AA270" s="8"/>
      <c r="AB270" s="8"/>
      <c r="AC270" s="8"/>
    </row>
    <row r="271" ht="12.75" customHeight="1" spans="1:29" x14ac:dyDescent="0.25">
      <c r="A271" s="8"/>
      <c r="B271" s="8"/>
      <c r="C271" s="8"/>
      <c r="D271" s="8"/>
      <c r="E271" s="8"/>
      <c r="F271" s="8"/>
      <c r="G271" s="8"/>
      <c r="H271" s="675"/>
      <c r="I271" s="675"/>
      <c r="J271" s="675"/>
      <c r="K271" s="675"/>
      <c r="L271" s="675"/>
      <c r="M271" s="675"/>
      <c r="N271" s="675"/>
      <c r="O271" s="675"/>
      <c r="P271" s="675"/>
      <c r="Q271" s="675"/>
      <c r="R271" s="675"/>
      <c r="S271" s="675"/>
      <c r="T271" s="675"/>
      <c r="U271" s="8"/>
      <c r="V271" s="8"/>
      <c r="W271" s="8"/>
      <c r="X271" s="8"/>
      <c r="Y271" s="8"/>
      <c r="Z271" s="8"/>
      <c r="AA271" s="8"/>
      <c r="AB271" s="8"/>
      <c r="AC271" s="8"/>
    </row>
    <row r="272" ht="12.75" customHeight="1" spans="1:29" x14ac:dyDescent="0.25">
      <c r="A272" s="8"/>
      <c r="B272" s="8"/>
      <c r="C272" s="8"/>
      <c r="D272" s="8"/>
      <c r="E272" s="8"/>
      <c r="F272" s="8"/>
      <c r="G272" s="8"/>
      <c r="H272" s="675"/>
      <c r="I272" s="675"/>
      <c r="J272" s="675"/>
      <c r="K272" s="675"/>
      <c r="L272" s="675"/>
      <c r="M272" s="675"/>
      <c r="N272" s="675"/>
      <c r="O272" s="675"/>
      <c r="P272" s="675"/>
      <c r="Q272" s="675"/>
      <c r="R272" s="675"/>
      <c r="S272" s="675"/>
      <c r="T272" s="675"/>
      <c r="U272" s="8"/>
      <c r="V272" s="8"/>
      <c r="W272" s="8"/>
      <c r="X272" s="8"/>
      <c r="Y272" s="8"/>
      <c r="Z272" s="8"/>
      <c r="AA272" s="8"/>
      <c r="AB272" s="8"/>
      <c r="AC272" s="8"/>
    </row>
    <row r="273" ht="12.75" customHeight="1" spans="1:29" x14ac:dyDescent="0.25">
      <c r="A273" s="8"/>
      <c r="B273" s="8"/>
      <c r="C273" s="8"/>
      <c r="D273" s="8"/>
      <c r="E273" s="8"/>
      <c r="F273" s="8"/>
      <c r="G273" s="8"/>
      <c r="H273" s="675"/>
      <c r="I273" s="675"/>
      <c r="J273" s="675"/>
      <c r="K273" s="675"/>
      <c r="L273" s="675"/>
      <c r="M273" s="675"/>
      <c r="N273" s="675"/>
      <c r="O273" s="675"/>
      <c r="P273" s="675"/>
      <c r="Q273" s="675"/>
      <c r="R273" s="675"/>
      <c r="S273" s="675"/>
      <c r="T273" s="675"/>
      <c r="U273" s="8"/>
      <c r="V273" s="8"/>
      <c r="W273" s="8"/>
      <c r="X273" s="8"/>
      <c r="Y273" s="8"/>
      <c r="Z273" s="8"/>
      <c r="AA273" s="8"/>
      <c r="AB273" s="8"/>
      <c r="AC273" s="8"/>
    </row>
    <row r="274" ht="12.75" customHeight="1" spans="1:29" x14ac:dyDescent="0.25">
      <c r="A274" s="8"/>
      <c r="B274" s="8"/>
      <c r="C274" s="8"/>
      <c r="D274" s="8"/>
      <c r="E274" s="8"/>
      <c r="F274" s="8"/>
      <c r="G274" s="8"/>
      <c r="H274" s="675"/>
      <c r="I274" s="675"/>
      <c r="J274" s="675"/>
      <c r="K274" s="675"/>
      <c r="L274" s="675"/>
      <c r="M274" s="675"/>
      <c r="N274" s="675"/>
      <c r="O274" s="675"/>
      <c r="P274" s="675"/>
      <c r="Q274" s="675"/>
      <c r="R274" s="675"/>
      <c r="S274" s="675"/>
      <c r="T274" s="675"/>
      <c r="U274" s="8"/>
      <c r="V274" s="8"/>
      <c r="W274" s="8"/>
      <c r="X274" s="8"/>
      <c r="Y274" s="8"/>
      <c r="Z274" s="8"/>
      <c r="AA274" s="8"/>
      <c r="AB274" s="8"/>
      <c r="AC274" s="8"/>
    </row>
    <row r="275" ht="12.75" customHeight="1" spans="1:29" x14ac:dyDescent="0.25">
      <c r="A275" s="8"/>
      <c r="B275" s="8"/>
      <c r="C275" s="8"/>
      <c r="D275" s="8"/>
      <c r="E275" s="8"/>
      <c r="F275" s="8"/>
      <c r="G275" s="8"/>
      <c r="H275" s="675"/>
      <c r="I275" s="675"/>
      <c r="J275" s="675"/>
      <c r="K275" s="675"/>
      <c r="L275" s="675"/>
      <c r="M275" s="675"/>
      <c r="N275" s="675"/>
      <c r="O275" s="675"/>
      <c r="P275" s="675"/>
      <c r="Q275" s="675"/>
      <c r="R275" s="675"/>
      <c r="S275" s="675"/>
      <c r="T275" s="675"/>
      <c r="U275" s="8"/>
      <c r="V275" s="8"/>
      <c r="W275" s="8"/>
      <c r="X275" s="8"/>
      <c r="Y275" s="8"/>
      <c r="Z275" s="8"/>
      <c r="AA275" s="8"/>
      <c r="AB275" s="8"/>
      <c r="AC275" s="8"/>
    </row>
    <row r="276" ht="12.75" customHeight="1" spans="1:29" x14ac:dyDescent="0.25">
      <c r="A276" s="8"/>
      <c r="B276" s="8"/>
      <c r="C276" s="8"/>
      <c r="D276" s="8"/>
      <c r="E276" s="8"/>
      <c r="F276" s="8"/>
      <c r="G276" s="8"/>
      <c r="H276" s="675"/>
      <c r="I276" s="675"/>
      <c r="J276" s="675"/>
      <c r="K276" s="675"/>
      <c r="L276" s="675"/>
      <c r="M276" s="675"/>
      <c r="N276" s="675"/>
      <c r="O276" s="675"/>
      <c r="P276" s="675"/>
      <c r="Q276" s="675"/>
      <c r="R276" s="675"/>
      <c r="S276" s="675"/>
      <c r="T276" s="675"/>
      <c r="U276" s="8"/>
      <c r="V276" s="8"/>
      <c r="W276" s="8"/>
      <c r="X276" s="8"/>
      <c r="Y276" s="8"/>
      <c r="Z276" s="8"/>
      <c r="AA276" s="8"/>
      <c r="AB276" s="8"/>
      <c r="AC276" s="8"/>
    </row>
    <row r="277" ht="12.75" customHeight="1" spans="1:29" x14ac:dyDescent="0.25">
      <c r="A277" s="8"/>
      <c r="B277" s="8"/>
      <c r="C277" s="8"/>
      <c r="D277" s="8"/>
      <c r="E277" s="8"/>
      <c r="F277" s="8"/>
      <c r="G277" s="8"/>
      <c r="H277" s="675"/>
      <c r="I277" s="675"/>
      <c r="J277" s="675"/>
      <c r="K277" s="675"/>
      <c r="L277" s="675"/>
      <c r="M277" s="675"/>
      <c r="N277" s="675"/>
      <c r="O277" s="675"/>
      <c r="P277" s="675"/>
      <c r="Q277" s="675"/>
      <c r="R277" s="675"/>
      <c r="S277" s="675"/>
      <c r="T277" s="675"/>
      <c r="U277" s="8"/>
      <c r="V277" s="8"/>
      <c r="W277" s="8"/>
      <c r="X277" s="8"/>
      <c r="Y277" s="8"/>
      <c r="Z277" s="8"/>
      <c r="AA277" s="8"/>
      <c r="AB277" s="8"/>
      <c r="AC277" s="8"/>
    </row>
    <row r="278" ht="12.75" customHeight="1" spans="1:29" x14ac:dyDescent="0.25">
      <c r="A278" s="8"/>
      <c r="B278" s="8"/>
      <c r="C278" s="8"/>
      <c r="D278" s="8"/>
      <c r="E278" s="8"/>
      <c r="F278" s="8"/>
      <c r="G278" s="8"/>
      <c r="H278" s="675"/>
      <c r="I278" s="675"/>
      <c r="J278" s="675"/>
      <c r="K278" s="675"/>
      <c r="L278" s="675"/>
      <c r="M278" s="675"/>
      <c r="N278" s="675"/>
      <c r="O278" s="675"/>
      <c r="P278" s="675"/>
      <c r="Q278" s="675"/>
      <c r="R278" s="675"/>
      <c r="S278" s="675"/>
      <c r="T278" s="675"/>
      <c r="U278" s="8"/>
      <c r="V278" s="8"/>
      <c r="W278" s="8"/>
      <c r="X278" s="8"/>
      <c r="Y278" s="8"/>
      <c r="Z278" s="8"/>
      <c r="AA278" s="8"/>
      <c r="AB278" s="8"/>
      <c r="AC278" s="8"/>
    </row>
    <row r="279" ht="12.75" customHeight="1" spans="1:29" x14ac:dyDescent="0.25">
      <c r="A279" s="8"/>
      <c r="B279" s="8"/>
      <c r="C279" s="8"/>
      <c r="D279" s="8"/>
      <c r="E279" s="8"/>
      <c r="F279" s="8"/>
      <c r="G279" s="8"/>
      <c r="H279" s="675"/>
      <c r="I279" s="675"/>
      <c r="J279" s="675"/>
      <c r="K279" s="675"/>
      <c r="L279" s="675"/>
      <c r="M279" s="675"/>
      <c r="N279" s="675"/>
      <c r="O279" s="675"/>
      <c r="P279" s="675"/>
      <c r="Q279" s="675"/>
      <c r="R279" s="675"/>
      <c r="S279" s="675"/>
      <c r="T279" s="675"/>
      <c r="U279" s="8"/>
      <c r="V279" s="8"/>
      <c r="W279" s="8"/>
      <c r="X279" s="8"/>
      <c r="Y279" s="8"/>
      <c r="Z279" s="8"/>
      <c r="AA279" s="8"/>
      <c r="AB279" s="8"/>
      <c r="AC279" s="8"/>
    </row>
    <row r="280" ht="12.75" customHeight="1" spans="1:29" x14ac:dyDescent="0.25">
      <c r="A280" s="8"/>
      <c r="B280" s="8"/>
      <c r="C280" s="8"/>
      <c r="D280" s="8"/>
      <c r="E280" s="8"/>
      <c r="F280" s="8"/>
      <c r="G280" s="8"/>
      <c r="H280" s="675"/>
      <c r="I280" s="675"/>
      <c r="J280" s="675"/>
      <c r="K280" s="675"/>
      <c r="L280" s="675"/>
      <c r="M280" s="675"/>
      <c r="N280" s="675"/>
      <c r="O280" s="675"/>
      <c r="P280" s="675"/>
      <c r="Q280" s="675"/>
      <c r="R280" s="675"/>
      <c r="S280" s="675"/>
      <c r="T280" s="675"/>
      <c r="U280" s="8"/>
      <c r="V280" s="8"/>
      <c r="W280" s="8"/>
      <c r="X280" s="8"/>
      <c r="Y280" s="8"/>
      <c r="Z280" s="8"/>
      <c r="AA280" s="8"/>
      <c r="AB280" s="8"/>
      <c r="AC280" s="8"/>
    </row>
    <row r="281" ht="12.75" customHeight="1" spans="1:29" x14ac:dyDescent="0.25">
      <c r="A281" s="8"/>
      <c r="B281" s="8"/>
      <c r="C281" s="8"/>
      <c r="D281" s="8"/>
      <c r="E281" s="8"/>
      <c r="F281" s="8"/>
      <c r="G281" s="8"/>
      <c r="H281" s="675"/>
      <c r="I281" s="675"/>
      <c r="J281" s="675"/>
      <c r="K281" s="675"/>
      <c r="L281" s="675"/>
      <c r="M281" s="675"/>
      <c r="N281" s="675"/>
      <c r="O281" s="675"/>
      <c r="P281" s="675"/>
      <c r="Q281" s="675"/>
      <c r="R281" s="675"/>
      <c r="S281" s="675"/>
      <c r="T281" s="675"/>
      <c r="U281" s="8"/>
      <c r="V281" s="8"/>
      <c r="W281" s="8"/>
      <c r="X281" s="8"/>
      <c r="Y281" s="8"/>
      <c r="Z281" s="8"/>
      <c r="AA281" s="8"/>
      <c r="AB281" s="8"/>
      <c r="AC281" s="8"/>
    </row>
    <row r="282" ht="12.75" customHeight="1" spans="1:29" x14ac:dyDescent="0.25">
      <c r="A282" s="8"/>
      <c r="B282" s="8"/>
      <c r="C282" s="8"/>
      <c r="D282" s="8"/>
      <c r="E282" s="8"/>
      <c r="F282" s="8"/>
      <c r="G282" s="8"/>
      <c r="H282" s="675"/>
      <c r="I282" s="675"/>
      <c r="J282" s="675"/>
      <c r="K282" s="675"/>
      <c r="L282" s="675"/>
      <c r="M282" s="675"/>
      <c r="N282" s="675"/>
      <c r="O282" s="675"/>
      <c r="P282" s="675"/>
      <c r="Q282" s="675"/>
      <c r="R282" s="675"/>
      <c r="S282" s="675"/>
      <c r="T282" s="675"/>
      <c r="U282" s="8"/>
      <c r="V282" s="8"/>
      <c r="W282" s="8"/>
      <c r="X282" s="8"/>
      <c r="Y282" s="8"/>
      <c r="Z282" s="8"/>
      <c r="AA282" s="8"/>
      <c r="AB282" s="8"/>
      <c r="AC282" s="8"/>
    </row>
    <row r="283" ht="12.75" customHeight="1" spans="1:29" x14ac:dyDescent="0.25">
      <c r="A283" s="8"/>
      <c r="B283" s="8"/>
      <c r="C283" s="8"/>
      <c r="D283" s="8"/>
      <c r="E283" s="8"/>
      <c r="F283" s="8"/>
      <c r="G283" s="8"/>
      <c r="H283" s="675"/>
      <c r="I283" s="675"/>
      <c r="J283" s="675"/>
      <c r="K283" s="675"/>
      <c r="L283" s="675"/>
      <c r="M283" s="675"/>
      <c r="N283" s="675"/>
      <c r="O283" s="675"/>
      <c r="P283" s="675"/>
      <c r="Q283" s="675"/>
      <c r="R283" s="675"/>
      <c r="S283" s="675"/>
      <c r="T283" s="675"/>
      <c r="U283" s="8"/>
      <c r="V283" s="8"/>
      <c r="W283" s="8"/>
      <c r="X283" s="8"/>
      <c r="Y283" s="8"/>
      <c r="Z283" s="8"/>
      <c r="AA283" s="8"/>
      <c r="AB283" s="8"/>
      <c r="AC283" s="8"/>
    </row>
    <row r="284" ht="12.75" customHeight="1" spans="1:29" x14ac:dyDescent="0.25">
      <c r="A284" s="8"/>
      <c r="B284" s="8"/>
      <c r="C284" s="8"/>
      <c r="D284" s="8"/>
      <c r="E284" s="8"/>
      <c r="F284" s="8"/>
      <c r="G284" s="8"/>
      <c r="H284" s="675"/>
      <c r="I284" s="675"/>
      <c r="J284" s="675"/>
      <c r="K284" s="675"/>
      <c r="L284" s="675"/>
      <c r="M284" s="675"/>
      <c r="N284" s="675"/>
      <c r="O284" s="675"/>
      <c r="P284" s="675"/>
      <c r="Q284" s="675"/>
      <c r="R284" s="675"/>
      <c r="S284" s="675"/>
      <c r="T284" s="675"/>
      <c r="U284" s="8"/>
      <c r="V284" s="8"/>
      <c r="W284" s="8"/>
      <c r="X284" s="8"/>
      <c r="Y284" s="8"/>
      <c r="Z284" s="8"/>
      <c r="AA284" s="8"/>
      <c r="AB284" s="8"/>
      <c r="AC284" s="8"/>
    </row>
    <row r="285" ht="12.75" customHeight="1" spans="1:29" x14ac:dyDescent="0.25">
      <c r="A285" s="8"/>
      <c r="B285" s="8"/>
      <c r="C285" s="8"/>
      <c r="D285" s="8"/>
      <c r="E285" s="8"/>
      <c r="F285" s="8"/>
      <c r="G285" s="8"/>
      <c r="H285" s="675"/>
      <c r="I285" s="675"/>
      <c r="J285" s="675"/>
      <c r="K285" s="675"/>
      <c r="L285" s="675"/>
      <c r="M285" s="675"/>
      <c r="N285" s="675"/>
      <c r="O285" s="675"/>
      <c r="P285" s="675"/>
      <c r="Q285" s="675"/>
      <c r="R285" s="675"/>
      <c r="S285" s="675"/>
      <c r="T285" s="675"/>
      <c r="U285" s="8"/>
      <c r="V285" s="8"/>
      <c r="W285" s="8"/>
      <c r="X285" s="8"/>
      <c r="Y285" s="8"/>
      <c r="Z285" s="8"/>
      <c r="AA285" s="8"/>
      <c r="AB285" s="8"/>
      <c r="AC285" s="8"/>
    </row>
    <row r="286" ht="12.75" customHeight="1" spans="1:29" x14ac:dyDescent="0.25">
      <c r="A286" s="8"/>
      <c r="B286" s="8"/>
      <c r="C286" s="8"/>
      <c r="D286" s="8"/>
      <c r="E286" s="8"/>
      <c r="F286" s="8"/>
      <c r="G286" s="8"/>
      <c r="H286" s="675"/>
      <c r="I286" s="675"/>
      <c r="J286" s="675"/>
      <c r="K286" s="675"/>
      <c r="L286" s="675"/>
      <c r="M286" s="675"/>
      <c r="N286" s="675"/>
      <c r="O286" s="675"/>
      <c r="P286" s="675"/>
      <c r="Q286" s="675"/>
      <c r="R286" s="675"/>
      <c r="S286" s="675"/>
      <c r="T286" s="675"/>
      <c r="U286" s="8"/>
      <c r="V286" s="8"/>
      <c r="W286" s="8"/>
      <c r="X286" s="8"/>
      <c r="Y286" s="8"/>
      <c r="Z286" s="8"/>
      <c r="AA286" s="8"/>
      <c r="AB286" s="8"/>
      <c r="AC286" s="8"/>
    </row>
    <row r="287" ht="12.75" customHeight="1" spans="1:29" x14ac:dyDescent="0.25">
      <c r="A287" s="8"/>
      <c r="B287" s="8"/>
      <c r="C287" s="8"/>
      <c r="D287" s="8"/>
      <c r="E287" s="8"/>
      <c r="F287" s="8"/>
      <c r="G287" s="8"/>
      <c r="H287" s="675"/>
      <c r="I287" s="675"/>
      <c r="J287" s="675"/>
      <c r="K287" s="675"/>
      <c r="L287" s="675"/>
      <c r="M287" s="675"/>
      <c r="N287" s="675"/>
      <c r="O287" s="675"/>
      <c r="P287" s="675"/>
      <c r="Q287" s="675"/>
      <c r="R287" s="675"/>
      <c r="S287" s="675"/>
      <c r="T287" s="675"/>
      <c r="U287" s="8"/>
      <c r="V287" s="8"/>
      <c r="W287" s="8"/>
      <c r="X287" s="8"/>
      <c r="Y287" s="8"/>
      <c r="Z287" s="8"/>
      <c r="AA287" s="8"/>
      <c r="AB287" s="8"/>
      <c r="AC287" s="8"/>
    </row>
    <row r="288" ht="12.75" customHeight="1" spans="1:29" x14ac:dyDescent="0.25">
      <c r="A288" s="8"/>
      <c r="B288" s="8"/>
      <c r="C288" s="8"/>
      <c r="D288" s="8"/>
      <c r="E288" s="8"/>
      <c r="F288" s="8"/>
      <c r="G288" s="8"/>
      <c r="H288" s="675"/>
      <c r="I288" s="675"/>
      <c r="J288" s="675"/>
      <c r="K288" s="675"/>
      <c r="L288" s="675"/>
      <c r="M288" s="675"/>
      <c r="N288" s="675"/>
      <c r="O288" s="675"/>
      <c r="P288" s="675"/>
      <c r="Q288" s="675"/>
      <c r="R288" s="675"/>
      <c r="S288" s="675"/>
      <c r="T288" s="675"/>
      <c r="U288" s="8"/>
      <c r="V288" s="8"/>
      <c r="W288" s="8"/>
      <c r="X288" s="8"/>
      <c r="Y288" s="8"/>
      <c r="Z288" s="8"/>
      <c r="AA288" s="8"/>
      <c r="AB288" s="8"/>
      <c r="AC288" s="8"/>
    </row>
    <row r="289" ht="12.75" customHeight="1" spans="1:29" x14ac:dyDescent="0.25">
      <c r="A289" s="8"/>
      <c r="B289" s="8"/>
      <c r="C289" s="8"/>
      <c r="D289" s="8"/>
      <c r="E289" s="8"/>
      <c r="F289" s="8"/>
      <c r="G289" s="8"/>
      <c r="H289" s="675"/>
      <c r="I289" s="675"/>
      <c r="J289" s="675"/>
      <c r="K289" s="675"/>
      <c r="L289" s="675"/>
      <c r="M289" s="675"/>
      <c r="N289" s="675"/>
      <c r="O289" s="675"/>
      <c r="P289" s="675"/>
      <c r="Q289" s="675"/>
      <c r="R289" s="675"/>
      <c r="S289" s="675"/>
      <c r="T289" s="675"/>
      <c r="U289" s="8"/>
      <c r="V289" s="8"/>
      <c r="W289" s="8"/>
      <c r="X289" s="8"/>
      <c r="Y289" s="8"/>
      <c r="Z289" s="8"/>
      <c r="AA289" s="8"/>
      <c r="AB289" s="8"/>
      <c r="AC289" s="8"/>
    </row>
    <row r="290" ht="12.75" customHeight="1" spans="1:29" x14ac:dyDescent="0.25">
      <c r="A290" s="8"/>
      <c r="B290" s="8"/>
      <c r="C290" s="8"/>
      <c r="D290" s="8"/>
      <c r="E290" s="8"/>
      <c r="F290" s="8"/>
      <c r="G290" s="8"/>
      <c r="H290" s="675"/>
      <c r="I290" s="675"/>
      <c r="J290" s="675"/>
      <c r="K290" s="675"/>
      <c r="L290" s="675"/>
      <c r="M290" s="675"/>
      <c r="N290" s="675"/>
      <c r="O290" s="675"/>
      <c r="P290" s="675"/>
      <c r="Q290" s="675"/>
      <c r="R290" s="675"/>
      <c r="S290" s="675"/>
      <c r="T290" s="675"/>
      <c r="U290" s="8"/>
      <c r="V290" s="8"/>
      <c r="W290" s="8"/>
      <c r="X290" s="8"/>
      <c r="Y290" s="8"/>
      <c r="Z290" s="8"/>
      <c r="AA290" s="8"/>
      <c r="AB290" s="8"/>
      <c r="AC290" s="8"/>
    </row>
    <row r="291" ht="12.75" customHeight="1" spans="1:29" x14ac:dyDescent="0.25">
      <c r="A291" s="8"/>
      <c r="B291" s="8"/>
      <c r="C291" s="8"/>
      <c r="D291" s="8"/>
      <c r="E291" s="8"/>
      <c r="F291" s="8"/>
      <c r="G291" s="8"/>
      <c r="H291" s="675"/>
      <c r="I291" s="675"/>
      <c r="J291" s="675"/>
      <c r="K291" s="675"/>
      <c r="L291" s="675"/>
      <c r="M291" s="675"/>
      <c r="N291" s="675"/>
      <c r="O291" s="675"/>
      <c r="P291" s="675"/>
      <c r="Q291" s="675"/>
      <c r="R291" s="675"/>
      <c r="S291" s="675"/>
      <c r="T291" s="675"/>
      <c r="U291" s="8"/>
      <c r="V291" s="8"/>
      <c r="W291" s="8"/>
      <c r="X291" s="8"/>
      <c r="Y291" s="8"/>
      <c r="Z291" s="8"/>
      <c r="AA291" s="8"/>
      <c r="AB291" s="8"/>
      <c r="AC291" s="8"/>
    </row>
    <row r="292" ht="12.75" customHeight="1" spans="1:29" x14ac:dyDescent="0.25">
      <c r="A292" s="8"/>
      <c r="B292" s="8"/>
      <c r="C292" s="8"/>
      <c r="D292" s="8"/>
      <c r="E292" s="8"/>
      <c r="F292" s="8"/>
      <c r="G292" s="8"/>
      <c r="H292" s="675"/>
      <c r="I292" s="675"/>
      <c r="J292" s="675"/>
      <c r="K292" s="675"/>
      <c r="L292" s="675"/>
      <c r="M292" s="675"/>
      <c r="N292" s="675"/>
      <c r="O292" s="675"/>
      <c r="P292" s="675"/>
      <c r="Q292" s="675"/>
      <c r="R292" s="675"/>
      <c r="S292" s="675"/>
      <c r="T292" s="675"/>
      <c r="U292" s="8"/>
      <c r="V292" s="8"/>
      <c r="W292" s="8"/>
      <c r="X292" s="8"/>
      <c r="Y292" s="8"/>
      <c r="Z292" s="8"/>
      <c r="AA292" s="8"/>
      <c r="AB292" s="8"/>
      <c r="AC292" s="8"/>
    </row>
    <row r="293" ht="12.75" customHeight="1" spans="1:29" x14ac:dyDescent="0.25">
      <c r="A293" s="8"/>
      <c r="B293" s="8"/>
      <c r="C293" s="8"/>
      <c r="D293" s="8"/>
      <c r="E293" s="8"/>
      <c r="F293" s="8"/>
      <c r="G293" s="8"/>
      <c r="H293" s="675"/>
      <c r="I293" s="675"/>
      <c r="J293" s="675"/>
      <c r="K293" s="675"/>
      <c r="L293" s="675"/>
      <c r="M293" s="675"/>
      <c r="N293" s="675"/>
      <c r="O293" s="675"/>
      <c r="P293" s="675"/>
      <c r="Q293" s="675"/>
      <c r="R293" s="675"/>
      <c r="S293" s="675"/>
      <c r="T293" s="675"/>
      <c r="U293" s="8"/>
      <c r="V293" s="8"/>
      <c r="W293" s="8"/>
      <c r="X293" s="8"/>
      <c r="Y293" s="8"/>
      <c r="Z293" s="8"/>
      <c r="AA293" s="8"/>
      <c r="AB293" s="8"/>
      <c r="AC293" s="8"/>
    </row>
    <row r="294" ht="12.75" customHeight="1" spans="1:29" x14ac:dyDescent="0.25">
      <c r="A294" s="8"/>
      <c r="B294" s="8"/>
      <c r="C294" s="8"/>
      <c r="D294" s="8"/>
      <c r="E294" s="8"/>
      <c r="F294" s="8"/>
      <c r="G294" s="8"/>
      <c r="H294" s="675"/>
      <c r="I294" s="675"/>
      <c r="J294" s="675"/>
      <c r="K294" s="675"/>
      <c r="L294" s="675"/>
      <c r="M294" s="675"/>
      <c r="N294" s="675"/>
      <c r="O294" s="675"/>
      <c r="P294" s="675"/>
      <c r="Q294" s="675"/>
      <c r="R294" s="675"/>
      <c r="S294" s="675"/>
      <c r="T294" s="675"/>
      <c r="U294" s="8"/>
      <c r="V294" s="8"/>
      <c r="W294" s="8"/>
      <c r="X294" s="8"/>
      <c r="Y294" s="8"/>
      <c r="Z294" s="8"/>
      <c r="AA294" s="8"/>
      <c r="AB294" s="8"/>
      <c r="AC294" s="8"/>
    </row>
    <row r="295" ht="12.75" customHeight="1" spans="1:29" x14ac:dyDescent="0.25">
      <c r="A295" s="8"/>
      <c r="B295" s="8"/>
      <c r="C295" s="8"/>
      <c r="D295" s="8"/>
      <c r="E295" s="8"/>
      <c r="F295" s="8"/>
      <c r="G295" s="8"/>
      <c r="H295" s="675"/>
      <c r="I295" s="675"/>
      <c r="J295" s="675"/>
      <c r="K295" s="675"/>
      <c r="L295" s="675"/>
      <c r="M295" s="675"/>
      <c r="N295" s="675"/>
      <c r="O295" s="675"/>
      <c r="P295" s="675"/>
      <c r="Q295" s="675"/>
      <c r="R295" s="675"/>
      <c r="S295" s="675"/>
      <c r="T295" s="675"/>
      <c r="U295" s="8"/>
      <c r="V295" s="8"/>
      <c r="W295" s="8"/>
      <c r="X295" s="8"/>
      <c r="Y295" s="8"/>
      <c r="Z295" s="8"/>
      <c r="AA295" s="8"/>
      <c r="AB295" s="8"/>
      <c r="AC295" s="8"/>
    </row>
    <row r="296" ht="12.75" customHeight="1" spans="1:29" x14ac:dyDescent="0.25">
      <c r="A296" s="8"/>
      <c r="B296" s="8"/>
      <c r="C296" s="8"/>
      <c r="D296" s="8"/>
      <c r="E296" s="8"/>
      <c r="F296" s="8"/>
      <c r="G296" s="8"/>
      <c r="H296" s="675"/>
      <c r="I296" s="675"/>
      <c r="J296" s="675"/>
      <c r="K296" s="675"/>
      <c r="L296" s="675"/>
      <c r="M296" s="675"/>
      <c r="N296" s="675"/>
      <c r="O296" s="675"/>
      <c r="P296" s="675"/>
      <c r="Q296" s="675"/>
      <c r="R296" s="675"/>
      <c r="S296" s="675"/>
      <c r="T296" s="675"/>
      <c r="U296" s="8"/>
      <c r="V296" s="8"/>
      <c r="W296" s="8"/>
      <c r="X296" s="8"/>
      <c r="Y296" s="8"/>
      <c r="Z296" s="8"/>
      <c r="AA296" s="8"/>
      <c r="AB296" s="8"/>
      <c r="AC296" s="8"/>
    </row>
    <row r="297" ht="12.75" customHeight="1" spans="1:29" x14ac:dyDescent="0.25">
      <c r="A297" s="8"/>
      <c r="B297" s="8"/>
      <c r="C297" s="8"/>
      <c r="D297" s="8"/>
      <c r="E297" s="8"/>
      <c r="F297" s="8"/>
      <c r="G297" s="8"/>
      <c r="H297" s="675"/>
      <c r="I297" s="675"/>
      <c r="J297" s="675"/>
      <c r="K297" s="675"/>
      <c r="L297" s="675"/>
      <c r="M297" s="675"/>
      <c r="N297" s="675"/>
      <c r="O297" s="675"/>
      <c r="P297" s="675"/>
      <c r="Q297" s="675"/>
      <c r="R297" s="675"/>
      <c r="S297" s="675"/>
      <c r="T297" s="675"/>
      <c r="U297" s="8"/>
      <c r="V297" s="8"/>
      <c r="W297" s="8"/>
      <c r="X297" s="8"/>
      <c r="Y297" s="8"/>
      <c r="Z297" s="8"/>
      <c r="AA297" s="8"/>
      <c r="AB297" s="8"/>
      <c r="AC297" s="8"/>
    </row>
    <row r="298" ht="12.75" customHeight="1" spans="1:29" x14ac:dyDescent="0.25">
      <c r="A298" s="8"/>
      <c r="B298" s="8"/>
      <c r="C298" s="8"/>
      <c r="D298" s="8"/>
      <c r="E298" s="8"/>
      <c r="F298" s="8"/>
      <c r="G298" s="8"/>
      <c r="H298" s="675"/>
      <c r="I298" s="675"/>
      <c r="J298" s="675"/>
      <c r="K298" s="675"/>
      <c r="L298" s="675"/>
      <c r="M298" s="675"/>
      <c r="N298" s="675"/>
      <c r="O298" s="675"/>
      <c r="P298" s="675"/>
      <c r="Q298" s="675"/>
      <c r="R298" s="675"/>
      <c r="S298" s="675"/>
      <c r="T298" s="675"/>
      <c r="U298" s="8"/>
      <c r="V298" s="8"/>
      <c r="W298" s="8"/>
      <c r="X298" s="8"/>
      <c r="Y298" s="8"/>
      <c r="Z298" s="8"/>
      <c r="AA298" s="8"/>
      <c r="AB298" s="8"/>
      <c r="AC298" s="8"/>
    </row>
    <row r="299" ht="12.75" customHeight="1" spans="1:29" x14ac:dyDescent="0.25">
      <c r="A299" s="8"/>
      <c r="B299" s="8"/>
      <c r="C299" s="8"/>
      <c r="D299" s="8"/>
      <c r="E299" s="8"/>
      <c r="F299" s="8"/>
      <c r="G299" s="8"/>
      <c r="H299" s="675"/>
      <c r="I299" s="675"/>
      <c r="J299" s="675"/>
      <c r="K299" s="675"/>
      <c r="L299" s="675"/>
      <c r="M299" s="675"/>
      <c r="N299" s="675"/>
      <c r="O299" s="675"/>
      <c r="P299" s="675"/>
      <c r="Q299" s="675"/>
      <c r="R299" s="675"/>
      <c r="S299" s="675"/>
      <c r="T299" s="675"/>
      <c r="U299" s="8"/>
      <c r="V299" s="8"/>
      <c r="W299" s="8"/>
      <c r="X299" s="8"/>
      <c r="Y299" s="8"/>
      <c r="Z299" s="8"/>
      <c r="AA299" s="8"/>
      <c r="AB299" s="8"/>
      <c r="AC299" s="8"/>
    </row>
    <row r="300" ht="12.75" customHeight="1" spans="1:29" x14ac:dyDescent="0.25">
      <c r="A300" s="8"/>
      <c r="B300" s="8"/>
      <c r="C300" s="8"/>
      <c r="D300" s="8"/>
      <c r="E300" s="8"/>
      <c r="F300" s="8"/>
      <c r="G300" s="8"/>
      <c r="H300" s="675"/>
      <c r="I300" s="675"/>
      <c r="J300" s="675"/>
      <c r="K300" s="675"/>
      <c r="L300" s="675"/>
      <c r="M300" s="675"/>
      <c r="N300" s="675"/>
      <c r="O300" s="675"/>
      <c r="P300" s="675"/>
      <c r="Q300" s="675"/>
      <c r="R300" s="675"/>
      <c r="S300" s="675"/>
      <c r="T300" s="675"/>
      <c r="U300" s="8"/>
      <c r="V300" s="8"/>
      <c r="W300" s="8"/>
      <c r="X300" s="8"/>
      <c r="Y300" s="8"/>
      <c r="Z300" s="8"/>
      <c r="AA300" s="8"/>
      <c r="AB300" s="8"/>
      <c r="AC300" s="8"/>
    </row>
    <row r="301" ht="12.75" customHeight="1" spans="1:29" x14ac:dyDescent="0.25">
      <c r="A301" s="8"/>
      <c r="B301" s="8"/>
      <c r="C301" s="8"/>
      <c r="D301" s="8"/>
      <c r="E301" s="8"/>
      <c r="F301" s="8"/>
      <c r="G301" s="8"/>
      <c r="H301" s="675"/>
      <c r="I301" s="675"/>
      <c r="J301" s="675"/>
      <c r="K301" s="675"/>
      <c r="L301" s="675"/>
      <c r="M301" s="675"/>
      <c r="N301" s="675"/>
      <c r="O301" s="675"/>
      <c r="P301" s="675"/>
      <c r="Q301" s="675"/>
      <c r="R301" s="675"/>
      <c r="S301" s="675"/>
      <c r="T301" s="675"/>
      <c r="U301" s="8"/>
      <c r="V301" s="8"/>
      <c r="W301" s="8"/>
      <c r="X301" s="8"/>
      <c r="Y301" s="8"/>
      <c r="Z301" s="8"/>
      <c r="AA301" s="8"/>
      <c r="AB301" s="8"/>
      <c r="AC301" s="8"/>
    </row>
    <row r="302" ht="12.75" customHeight="1" spans="1:29" x14ac:dyDescent="0.25">
      <c r="A302" s="8"/>
      <c r="B302" s="8"/>
      <c r="C302" s="8"/>
      <c r="D302" s="8"/>
      <c r="E302" s="8"/>
      <c r="F302" s="8"/>
      <c r="G302" s="8"/>
      <c r="H302" s="675"/>
      <c r="I302" s="675"/>
      <c r="J302" s="675"/>
      <c r="K302" s="675"/>
      <c r="L302" s="675"/>
      <c r="M302" s="675"/>
      <c r="N302" s="675"/>
      <c r="O302" s="675"/>
      <c r="P302" s="675"/>
      <c r="Q302" s="675"/>
      <c r="R302" s="675"/>
      <c r="S302" s="675"/>
      <c r="T302" s="675"/>
      <c r="U302" s="8"/>
      <c r="V302" s="8"/>
      <c r="W302" s="8"/>
      <c r="X302" s="8"/>
      <c r="Y302" s="8"/>
      <c r="Z302" s="8"/>
      <c r="AA302" s="8"/>
      <c r="AB302" s="8"/>
      <c r="AC302" s="8"/>
    </row>
    <row r="303" ht="12.75" customHeight="1" spans="1:29" x14ac:dyDescent="0.25">
      <c r="A303" s="8"/>
      <c r="B303" s="8"/>
      <c r="C303" s="8"/>
      <c r="D303" s="8"/>
      <c r="E303" s="8"/>
      <c r="F303" s="8"/>
      <c r="G303" s="8"/>
      <c r="H303" s="675"/>
      <c r="I303" s="675"/>
      <c r="J303" s="675"/>
      <c r="K303" s="675"/>
      <c r="L303" s="675"/>
      <c r="M303" s="675"/>
      <c r="N303" s="675"/>
      <c r="O303" s="675"/>
      <c r="P303" s="675"/>
      <c r="Q303" s="675"/>
      <c r="R303" s="675"/>
      <c r="S303" s="675"/>
      <c r="T303" s="675"/>
      <c r="U303" s="8"/>
      <c r="V303" s="8"/>
      <c r="W303" s="8"/>
      <c r="X303" s="8"/>
      <c r="Y303" s="8"/>
      <c r="Z303" s="8"/>
      <c r="AA303" s="8"/>
      <c r="AB303" s="8"/>
      <c r="AC303" s="8"/>
    </row>
    <row r="304" ht="12.75" customHeight="1" spans="1:29" x14ac:dyDescent="0.25">
      <c r="A304" s="8"/>
      <c r="B304" s="8"/>
      <c r="C304" s="8"/>
      <c r="D304" s="8"/>
      <c r="E304" s="8"/>
      <c r="F304" s="8"/>
      <c r="G304" s="8"/>
      <c r="H304" s="675"/>
      <c r="I304" s="675"/>
      <c r="J304" s="675"/>
      <c r="K304" s="675"/>
      <c r="L304" s="675"/>
      <c r="M304" s="675"/>
      <c r="N304" s="675"/>
      <c r="O304" s="675"/>
      <c r="P304" s="675"/>
      <c r="Q304" s="675"/>
      <c r="R304" s="675"/>
      <c r="S304" s="675"/>
      <c r="T304" s="675"/>
      <c r="U304" s="8"/>
      <c r="V304" s="8"/>
      <c r="W304" s="8"/>
      <c r="X304" s="8"/>
      <c r="Y304" s="8"/>
      <c r="Z304" s="8"/>
      <c r="AA304" s="8"/>
      <c r="AB304" s="8"/>
      <c r="AC304" s="8"/>
    </row>
    <row r="305" ht="12.75" customHeight="1" spans="1:29" x14ac:dyDescent="0.25">
      <c r="A305" s="8"/>
      <c r="B305" s="8"/>
      <c r="C305" s="8"/>
      <c r="D305" s="8"/>
      <c r="E305" s="8"/>
      <c r="F305" s="8"/>
      <c r="G305" s="8"/>
      <c r="H305" s="675"/>
      <c r="I305" s="675"/>
      <c r="J305" s="675"/>
      <c r="K305" s="675"/>
      <c r="L305" s="675"/>
      <c r="M305" s="675"/>
      <c r="N305" s="675"/>
      <c r="O305" s="675"/>
      <c r="P305" s="675"/>
      <c r="Q305" s="675"/>
      <c r="R305" s="675"/>
      <c r="S305" s="675"/>
      <c r="T305" s="675"/>
      <c r="U305" s="8"/>
      <c r="V305" s="8"/>
      <c r="W305" s="8"/>
      <c r="X305" s="8"/>
      <c r="Y305" s="8"/>
      <c r="Z305" s="8"/>
      <c r="AA305" s="8"/>
      <c r="AB305" s="8"/>
      <c r="AC305" s="8"/>
    </row>
    <row r="306" ht="12.75" customHeight="1" spans="1:29" x14ac:dyDescent="0.25">
      <c r="A306" s="8"/>
      <c r="B306" s="8"/>
      <c r="C306" s="8"/>
      <c r="D306" s="8"/>
      <c r="E306" s="8"/>
      <c r="F306" s="8"/>
      <c r="G306" s="8"/>
      <c r="H306" s="675"/>
      <c r="I306" s="675"/>
      <c r="J306" s="675"/>
      <c r="K306" s="675"/>
      <c r="L306" s="675"/>
      <c r="M306" s="675"/>
      <c r="N306" s="675"/>
      <c r="O306" s="675"/>
      <c r="P306" s="675"/>
      <c r="Q306" s="675"/>
      <c r="R306" s="675"/>
      <c r="S306" s="675"/>
      <c r="T306" s="675"/>
      <c r="U306" s="8"/>
      <c r="V306" s="8"/>
      <c r="W306" s="8"/>
      <c r="X306" s="8"/>
      <c r="Y306" s="8"/>
      <c r="Z306" s="8"/>
      <c r="AA306" s="8"/>
      <c r="AB306" s="8"/>
      <c r="AC306" s="8"/>
    </row>
    <row r="307" ht="12.75" customHeight="1" spans="1:29" x14ac:dyDescent="0.25">
      <c r="A307" s="8"/>
      <c r="B307" s="8"/>
      <c r="C307" s="8"/>
      <c r="D307" s="8"/>
      <c r="E307" s="8"/>
      <c r="F307" s="8"/>
      <c r="G307" s="8"/>
      <c r="H307" s="675"/>
      <c r="I307" s="675"/>
      <c r="J307" s="675"/>
      <c r="K307" s="675"/>
      <c r="L307" s="675"/>
      <c r="M307" s="675"/>
      <c r="N307" s="675"/>
      <c r="O307" s="675"/>
      <c r="P307" s="675"/>
      <c r="Q307" s="675"/>
      <c r="R307" s="675"/>
      <c r="S307" s="675"/>
      <c r="T307" s="675"/>
      <c r="U307" s="8"/>
      <c r="V307" s="8"/>
      <c r="W307" s="8"/>
      <c r="X307" s="8"/>
      <c r="Y307" s="8"/>
      <c r="Z307" s="8"/>
      <c r="AA307" s="8"/>
      <c r="AB307" s="8"/>
      <c r="AC307" s="8"/>
    </row>
    <row r="308" ht="12.75" customHeight="1" spans="1:29" x14ac:dyDescent="0.25">
      <c r="A308" s="8"/>
      <c r="B308" s="8"/>
      <c r="C308" s="8"/>
      <c r="D308" s="8"/>
      <c r="E308" s="8"/>
      <c r="F308" s="8"/>
      <c r="G308" s="8"/>
      <c r="H308" s="675"/>
      <c r="I308" s="675"/>
      <c r="J308" s="675"/>
      <c r="K308" s="675"/>
      <c r="L308" s="675"/>
      <c r="M308" s="675"/>
      <c r="N308" s="675"/>
      <c r="O308" s="675"/>
      <c r="P308" s="675"/>
      <c r="Q308" s="675"/>
      <c r="R308" s="675"/>
      <c r="S308" s="675"/>
      <c r="T308" s="675"/>
      <c r="U308" s="8"/>
      <c r="V308" s="8"/>
      <c r="W308" s="8"/>
      <c r="X308" s="8"/>
      <c r="Y308" s="8"/>
      <c r="Z308" s="8"/>
      <c r="AA308" s="8"/>
      <c r="AB308" s="8"/>
      <c r="AC308" s="8"/>
    </row>
    <row r="309" ht="12.75" customHeight="1" spans="1:29" x14ac:dyDescent="0.25">
      <c r="A309" s="8"/>
      <c r="B309" s="8"/>
      <c r="C309" s="8"/>
      <c r="D309" s="8"/>
      <c r="E309" s="8"/>
      <c r="F309" s="8"/>
      <c r="G309" s="8"/>
      <c r="H309" s="675"/>
      <c r="I309" s="675"/>
      <c r="J309" s="675"/>
      <c r="K309" s="675"/>
      <c r="L309" s="675"/>
      <c r="M309" s="675"/>
      <c r="N309" s="675"/>
      <c r="O309" s="675"/>
      <c r="P309" s="675"/>
      <c r="Q309" s="675"/>
      <c r="R309" s="675"/>
      <c r="S309" s="675"/>
      <c r="T309" s="675"/>
      <c r="U309" s="8"/>
      <c r="V309" s="8"/>
      <c r="W309" s="8"/>
      <c r="X309" s="8"/>
      <c r="Y309" s="8"/>
      <c r="Z309" s="8"/>
      <c r="AA309" s="8"/>
      <c r="AB309" s="8"/>
      <c r="AC309" s="8"/>
    </row>
    <row r="310" ht="12.75" customHeight="1" spans="1:29" x14ac:dyDescent="0.25">
      <c r="A310" s="8"/>
      <c r="B310" s="8"/>
      <c r="C310" s="8"/>
      <c r="D310" s="8"/>
      <c r="E310" s="8"/>
      <c r="F310" s="8"/>
      <c r="G310" s="8"/>
      <c r="H310" s="675"/>
      <c r="I310" s="675"/>
      <c r="J310" s="675"/>
      <c r="K310" s="675"/>
      <c r="L310" s="675"/>
      <c r="M310" s="675"/>
      <c r="N310" s="675"/>
      <c r="O310" s="675"/>
      <c r="P310" s="675"/>
      <c r="Q310" s="675"/>
      <c r="R310" s="675"/>
      <c r="S310" s="675"/>
      <c r="T310" s="675"/>
      <c r="U310" s="8"/>
      <c r="V310" s="8"/>
      <c r="W310" s="8"/>
      <c r="X310" s="8"/>
      <c r="Y310" s="8"/>
      <c r="Z310" s="8"/>
      <c r="AA310" s="8"/>
      <c r="AB310" s="8"/>
      <c r="AC310" s="8"/>
    </row>
    <row r="311" ht="12.75" customHeight="1" spans="1:29" x14ac:dyDescent="0.25">
      <c r="A311" s="8"/>
      <c r="B311" s="8"/>
      <c r="C311" s="8"/>
      <c r="D311" s="8"/>
      <c r="E311" s="8"/>
      <c r="F311" s="8"/>
      <c r="G311" s="8"/>
      <c r="H311" s="675"/>
      <c r="I311" s="675"/>
      <c r="J311" s="675"/>
      <c r="K311" s="675"/>
      <c r="L311" s="675"/>
      <c r="M311" s="675"/>
      <c r="N311" s="675"/>
      <c r="O311" s="675"/>
      <c r="P311" s="675"/>
      <c r="Q311" s="675"/>
      <c r="R311" s="675"/>
      <c r="S311" s="675"/>
      <c r="T311" s="675"/>
      <c r="U311" s="8"/>
      <c r="V311" s="8"/>
      <c r="W311" s="8"/>
      <c r="X311" s="8"/>
      <c r="Y311" s="8"/>
      <c r="Z311" s="8"/>
      <c r="AA311" s="8"/>
      <c r="AB311" s="8"/>
      <c r="AC311" s="8"/>
    </row>
    <row r="312" ht="12.75" customHeight="1" spans="1:29" x14ac:dyDescent="0.25">
      <c r="A312" s="8"/>
      <c r="B312" s="8"/>
      <c r="C312" s="8"/>
      <c r="D312" s="8"/>
      <c r="E312" s="8"/>
      <c r="F312" s="8"/>
      <c r="G312" s="8"/>
      <c r="H312" s="675"/>
      <c r="I312" s="675"/>
      <c r="J312" s="675"/>
      <c r="K312" s="675"/>
      <c r="L312" s="675"/>
      <c r="M312" s="675"/>
      <c r="N312" s="675"/>
      <c r="O312" s="675"/>
      <c r="P312" s="675"/>
      <c r="Q312" s="675"/>
      <c r="R312" s="675"/>
      <c r="S312" s="675"/>
      <c r="T312" s="675"/>
      <c r="U312" s="8"/>
      <c r="V312" s="8"/>
      <c r="W312" s="8"/>
      <c r="X312" s="8"/>
      <c r="Y312" s="8"/>
      <c r="Z312" s="8"/>
      <c r="AA312" s="8"/>
      <c r="AB312" s="8"/>
      <c r="AC312" s="8"/>
    </row>
    <row r="313" ht="12.75" customHeight="1" spans="1:29" x14ac:dyDescent="0.25">
      <c r="A313" s="8"/>
      <c r="B313" s="8"/>
      <c r="C313" s="8"/>
      <c r="D313" s="8"/>
      <c r="E313" s="8"/>
      <c r="F313" s="8"/>
      <c r="G313" s="8"/>
      <c r="H313" s="675"/>
      <c r="I313" s="675"/>
      <c r="J313" s="675"/>
      <c r="K313" s="675"/>
      <c r="L313" s="675"/>
      <c r="M313" s="675"/>
      <c r="N313" s="675"/>
      <c r="O313" s="675"/>
      <c r="P313" s="675"/>
      <c r="Q313" s="675"/>
      <c r="R313" s="675"/>
      <c r="S313" s="675"/>
      <c r="T313" s="675"/>
      <c r="U313" s="8"/>
      <c r="V313" s="8"/>
      <c r="W313" s="8"/>
      <c r="X313" s="8"/>
      <c r="Y313" s="8"/>
      <c r="Z313" s="8"/>
      <c r="AA313" s="8"/>
      <c r="AB313" s="8"/>
      <c r="AC313" s="8"/>
    </row>
    <row r="314" ht="12.75" customHeight="1" spans="1:29" x14ac:dyDescent="0.25">
      <c r="A314" s="8"/>
      <c r="B314" s="8"/>
      <c r="C314" s="8"/>
      <c r="D314" s="8"/>
      <c r="E314" s="8"/>
      <c r="F314" s="8"/>
      <c r="G314" s="8"/>
      <c r="H314" s="675"/>
      <c r="I314" s="675"/>
      <c r="J314" s="675"/>
      <c r="K314" s="675"/>
      <c r="L314" s="675"/>
      <c r="M314" s="675"/>
      <c r="N314" s="675"/>
      <c r="O314" s="675"/>
      <c r="P314" s="675"/>
      <c r="Q314" s="675"/>
      <c r="R314" s="675"/>
      <c r="S314" s="675"/>
      <c r="T314" s="675"/>
      <c r="U314" s="8"/>
      <c r="V314" s="8"/>
      <c r="W314" s="8"/>
      <c r="X314" s="8"/>
      <c r="Y314" s="8"/>
      <c r="Z314" s="8"/>
      <c r="AA314" s="8"/>
      <c r="AB314" s="8"/>
      <c r="AC314" s="8"/>
    </row>
    <row r="315" ht="12.75" customHeight="1" spans="1:29" x14ac:dyDescent="0.25">
      <c r="A315" s="8"/>
      <c r="B315" s="8"/>
      <c r="C315" s="8"/>
      <c r="D315" s="8"/>
      <c r="E315" s="8"/>
      <c r="F315" s="8"/>
      <c r="G315" s="8"/>
      <c r="H315" s="675"/>
      <c r="I315" s="675"/>
      <c r="J315" s="675"/>
      <c r="K315" s="675"/>
      <c r="L315" s="675"/>
      <c r="M315" s="675"/>
      <c r="N315" s="675"/>
      <c r="O315" s="675"/>
      <c r="P315" s="675"/>
      <c r="Q315" s="675"/>
      <c r="R315" s="675"/>
      <c r="S315" s="675"/>
      <c r="T315" s="675"/>
      <c r="U315" s="8"/>
      <c r="V315" s="8"/>
      <c r="W315" s="8"/>
      <c r="X315" s="8"/>
      <c r="Y315" s="8"/>
      <c r="Z315" s="8"/>
      <c r="AA315" s="8"/>
      <c r="AB315" s="8"/>
      <c r="AC315" s="8"/>
    </row>
    <row r="316" ht="12.75" customHeight="1" spans="1:29" x14ac:dyDescent="0.25">
      <c r="A316" s="8"/>
      <c r="B316" s="8"/>
      <c r="C316" s="8"/>
      <c r="D316" s="8"/>
      <c r="E316" s="8"/>
      <c r="F316" s="8"/>
      <c r="G316" s="8"/>
      <c r="H316" s="675"/>
      <c r="I316" s="675"/>
      <c r="J316" s="675"/>
      <c r="K316" s="675"/>
      <c r="L316" s="675"/>
      <c r="M316" s="675"/>
      <c r="N316" s="675"/>
      <c r="O316" s="675"/>
      <c r="P316" s="675"/>
      <c r="Q316" s="675"/>
      <c r="R316" s="675"/>
      <c r="S316" s="675"/>
      <c r="T316" s="675"/>
      <c r="U316" s="8"/>
      <c r="V316" s="8"/>
      <c r="W316" s="8"/>
      <c r="X316" s="8"/>
      <c r="Y316" s="8"/>
      <c r="Z316" s="8"/>
      <c r="AA316" s="8"/>
      <c r="AB316" s="8"/>
      <c r="AC316" s="8"/>
    </row>
    <row r="317" ht="12.75" customHeight="1" spans="1:29" x14ac:dyDescent="0.25">
      <c r="A317" s="8"/>
      <c r="B317" s="8"/>
      <c r="C317" s="8"/>
      <c r="D317" s="8"/>
      <c r="E317" s="8"/>
      <c r="F317" s="8"/>
      <c r="G317" s="8"/>
      <c r="H317" s="675"/>
      <c r="I317" s="675"/>
      <c r="J317" s="675"/>
      <c r="K317" s="675"/>
      <c r="L317" s="675"/>
      <c r="M317" s="675"/>
      <c r="N317" s="675"/>
      <c r="O317" s="675"/>
      <c r="P317" s="675"/>
      <c r="Q317" s="675"/>
      <c r="R317" s="675"/>
      <c r="S317" s="675"/>
      <c r="T317" s="675"/>
      <c r="U317" s="8"/>
      <c r="V317" s="8"/>
      <c r="W317" s="8"/>
      <c r="X317" s="8"/>
      <c r="Y317" s="8"/>
      <c r="Z317" s="8"/>
      <c r="AA317" s="8"/>
      <c r="AB317" s="8"/>
      <c r="AC317" s="8"/>
    </row>
    <row r="318" ht="12.75" customHeight="1" spans="1:29" x14ac:dyDescent="0.25">
      <c r="A318" s="8"/>
      <c r="B318" s="8"/>
      <c r="C318" s="8"/>
      <c r="D318" s="8"/>
      <c r="E318" s="8"/>
      <c r="F318" s="8"/>
      <c r="G318" s="8"/>
      <c r="H318" s="675"/>
      <c r="I318" s="675"/>
      <c r="J318" s="675"/>
      <c r="K318" s="675"/>
      <c r="L318" s="675"/>
      <c r="M318" s="675"/>
      <c r="N318" s="675"/>
      <c r="O318" s="675"/>
      <c r="P318" s="675"/>
      <c r="Q318" s="675"/>
      <c r="R318" s="675"/>
      <c r="S318" s="675"/>
      <c r="T318" s="675"/>
      <c r="U318" s="8"/>
      <c r="V318" s="8"/>
      <c r="W318" s="8"/>
      <c r="X318" s="8"/>
      <c r="Y318" s="8"/>
      <c r="Z318" s="8"/>
      <c r="AA318" s="8"/>
      <c r="AB318" s="8"/>
      <c r="AC318" s="8"/>
    </row>
    <row r="319" ht="12.75" customHeight="1" spans="1:29" x14ac:dyDescent="0.25">
      <c r="A319" s="8"/>
      <c r="B319" s="8"/>
      <c r="C319" s="8"/>
      <c r="D319" s="8"/>
      <c r="E319" s="8"/>
      <c r="F319" s="8"/>
      <c r="G319" s="8"/>
      <c r="H319" s="675"/>
      <c r="I319" s="675"/>
      <c r="J319" s="675"/>
      <c r="K319" s="675"/>
      <c r="L319" s="675"/>
      <c r="M319" s="675"/>
      <c r="N319" s="675"/>
      <c r="O319" s="675"/>
      <c r="P319" s="675"/>
      <c r="Q319" s="675"/>
      <c r="R319" s="675"/>
      <c r="S319" s="675"/>
      <c r="T319" s="675"/>
      <c r="U319" s="8"/>
      <c r="V319" s="8"/>
      <c r="W319" s="8"/>
      <c r="X319" s="8"/>
      <c r="Y319" s="8"/>
      <c r="Z319" s="8"/>
      <c r="AA319" s="8"/>
      <c r="AB319" s="8"/>
      <c r="AC319" s="8"/>
    </row>
    <row r="320" ht="12.75" customHeight="1" spans="1:29" x14ac:dyDescent="0.25">
      <c r="A320" s="8"/>
      <c r="B320" s="8"/>
      <c r="C320" s="8"/>
      <c r="D320" s="8"/>
      <c r="E320" s="8"/>
      <c r="F320" s="8"/>
      <c r="G320" s="8"/>
      <c r="H320" s="675"/>
      <c r="I320" s="675"/>
      <c r="J320" s="675"/>
      <c r="K320" s="675"/>
      <c r="L320" s="675"/>
      <c r="M320" s="675"/>
      <c r="N320" s="675"/>
      <c r="O320" s="675"/>
      <c r="P320" s="675"/>
      <c r="Q320" s="675"/>
      <c r="R320" s="675"/>
      <c r="S320" s="675"/>
      <c r="T320" s="675"/>
      <c r="U320" s="8"/>
      <c r="V320" s="8"/>
      <c r="W320" s="8"/>
      <c r="X320" s="8"/>
      <c r="Y320" s="8"/>
      <c r="Z320" s="8"/>
      <c r="AA320" s="8"/>
      <c r="AB320" s="8"/>
      <c r="AC320" s="8"/>
    </row>
    <row r="321" ht="12.75" customHeight="1" spans="1:29" x14ac:dyDescent="0.25">
      <c r="A321" s="8"/>
      <c r="B321" s="8"/>
      <c r="C321" s="8"/>
      <c r="D321" s="8"/>
      <c r="E321" s="8"/>
      <c r="F321" s="8"/>
      <c r="G321" s="8"/>
      <c r="H321" s="675"/>
      <c r="I321" s="675"/>
      <c r="J321" s="675"/>
      <c r="K321" s="675"/>
      <c r="L321" s="675"/>
      <c r="M321" s="675"/>
      <c r="N321" s="675"/>
      <c r="O321" s="675"/>
      <c r="P321" s="675"/>
      <c r="Q321" s="675"/>
      <c r="R321" s="675"/>
      <c r="S321" s="675"/>
      <c r="T321" s="675"/>
      <c r="U321" s="8"/>
      <c r="V321" s="8"/>
      <c r="W321" s="8"/>
      <c r="X321" s="8"/>
      <c r="Y321" s="8"/>
      <c r="Z321" s="8"/>
      <c r="AA321" s="8"/>
      <c r="AB321" s="8"/>
      <c r="AC321" s="8"/>
    </row>
    <row r="322" ht="12.75" customHeight="1" spans="1:29" x14ac:dyDescent="0.25">
      <c r="A322" s="8"/>
      <c r="B322" s="8"/>
      <c r="C322" s="8"/>
      <c r="D322" s="8"/>
      <c r="E322" s="8"/>
      <c r="F322" s="8"/>
      <c r="G322" s="8"/>
      <c r="H322" s="675"/>
      <c r="I322" s="675"/>
      <c r="J322" s="675"/>
      <c r="K322" s="675"/>
      <c r="L322" s="675"/>
      <c r="M322" s="675"/>
      <c r="N322" s="675"/>
      <c r="O322" s="675"/>
      <c r="P322" s="675"/>
      <c r="Q322" s="675"/>
      <c r="R322" s="675"/>
      <c r="S322" s="675"/>
      <c r="T322" s="675"/>
      <c r="U322" s="8"/>
      <c r="V322" s="8"/>
      <c r="W322" s="8"/>
      <c r="X322" s="8"/>
      <c r="Y322" s="8"/>
      <c r="Z322" s="8"/>
      <c r="AA322" s="8"/>
      <c r="AB322" s="8"/>
      <c r="AC322" s="8"/>
    </row>
    <row r="323" ht="12.75" customHeight="1" spans="1:29" x14ac:dyDescent="0.25">
      <c r="A323" s="8"/>
      <c r="B323" s="8"/>
      <c r="C323" s="8"/>
      <c r="D323" s="8"/>
      <c r="E323" s="8"/>
      <c r="F323" s="8"/>
      <c r="G323" s="8"/>
      <c r="H323" s="675"/>
      <c r="I323" s="675"/>
      <c r="J323" s="675"/>
      <c r="K323" s="675"/>
      <c r="L323" s="675"/>
      <c r="M323" s="675"/>
      <c r="N323" s="675"/>
      <c r="O323" s="675"/>
      <c r="P323" s="675"/>
      <c r="Q323" s="675"/>
      <c r="R323" s="675"/>
      <c r="S323" s="675"/>
      <c r="T323" s="675"/>
      <c r="U323" s="8"/>
      <c r="V323" s="8"/>
      <c r="W323" s="8"/>
      <c r="X323" s="8"/>
      <c r="Y323" s="8"/>
      <c r="Z323" s="8"/>
      <c r="AA323" s="8"/>
      <c r="AB323" s="8"/>
      <c r="AC323" s="8"/>
    </row>
    <row r="324" ht="12.75" customHeight="1" spans="1:29" x14ac:dyDescent="0.25">
      <c r="A324" s="8"/>
      <c r="B324" s="8"/>
      <c r="C324" s="8"/>
      <c r="D324" s="8"/>
      <c r="E324" s="8"/>
      <c r="F324" s="8"/>
      <c r="G324" s="8"/>
      <c r="H324" s="675"/>
      <c r="I324" s="675"/>
      <c r="J324" s="675"/>
      <c r="K324" s="675"/>
      <c r="L324" s="675"/>
      <c r="M324" s="675"/>
      <c r="N324" s="675"/>
      <c r="O324" s="675"/>
      <c r="P324" s="675"/>
      <c r="Q324" s="675"/>
      <c r="R324" s="675"/>
      <c r="S324" s="675"/>
      <c r="T324" s="675"/>
      <c r="U324" s="8"/>
      <c r="V324" s="8"/>
      <c r="W324" s="8"/>
      <c r="X324" s="8"/>
      <c r="Y324" s="8"/>
      <c r="Z324" s="8"/>
      <c r="AA324" s="8"/>
      <c r="AB324" s="8"/>
      <c r="AC324" s="8"/>
    </row>
    <row r="325" ht="12.75" customHeight="1" spans="1:29" x14ac:dyDescent="0.25">
      <c r="A325" s="8"/>
      <c r="B325" s="8"/>
      <c r="C325" s="8"/>
      <c r="D325" s="8"/>
      <c r="E325" s="8"/>
      <c r="F325" s="8"/>
      <c r="G325" s="8"/>
      <c r="H325" s="675"/>
      <c r="I325" s="675"/>
      <c r="J325" s="675"/>
      <c r="K325" s="675"/>
      <c r="L325" s="675"/>
      <c r="M325" s="675"/>
      <c r="N325" s="675"/>
      <c r="O325" s="675"/>
      <c r="P325" s="675"/>
      <c r="Q325" s="675"/>
      <c r="R325" s="675"/>
      <c r="S325" s="675"/>
      <c r="T325" s="675"/>
      <c r="U325" s="8"/>
      <c r="V325" s="8"/>
      <c r="W325" s="8"/>
      <c r="X325" s="8"/>
      <c r="Y325" s="8"/>
      <c r="Z325" s="8"/>
      <c r="AA325" s="8"/>
      <c r="AB325" s="8"/>
      <c r="AC325" s="8"/>
    </row>
    <row r="326" ht="12.75" customHeight="1" spans="1:29" x14ac:dyDescent="0.25">
      <c r="A326" s="8"/>
      <c r="B326" s="8"/>
      <c r="C326" s="8"/>
      <c r="D326" s="8"/>
      <c r="E326" s="8"/>
      <c r="F326" s="8"/>
      <c r="G326" s="8"/>
      <c r="H326" s="675"/>
      <c r="I326" s="675"/>
      <c r="J326" s="675"/>
      <c r="K326" s="675"/>
      <c r="L326" s="675"/>
      <c r="M326" s="675"/>
      <c r="N326" s="675"/>
      <c r="O326" s="675"/>
      <c r="P326" s="675"/>
      <c r="Q326" s="675"/>
      <c r="R326" s="675"/>
      <c r="S326" s="675"/>
      <c r="T326" s="675"/>
      <c r="U326" s="8"/>
      <c r="V326" s="8"/>
      <c r="W326" s="8"/>
      <c r="X326" s="8"/>
      <c r="Y326" s="8"/>
      <c r="Z326" s="8"/>
      <c r="AA326" s="8"/>
      <c r="AB326" s="8"/>
      <c r="AC326" s="8"/>
    </row>
    <row r="327" ht="12.75" customHeight="1" spans="1:29" x14ac:dyDescent="0.25">
      <c r="A327" s="8"/>
      <c r="B327" s="8"/>
      <c r="C327" s="8"/>
      <c r="D327" s="8"/>
      <c r="E327" s="8"/>
      <c r="F327" s="8"/>
      <c r="G327" s="8"/>
      <c r="H327" s="675"/>
      <c r="I327" s="675"/>
      <c r="J327" s="675"/>
      <c r="K327" s="675"/>
      <c r="L327" s="675"/>
      <c r="M327" s="675"/>
      <c r="N327" s="675"/>
      <c r="O327" s="675"/>
      <c r="P327" s="675"/>
      <c r="Q327" s="675"/>
      <c r="R327" s="675"/>
      <c r="S327" s="675"/>
      <c r="T327" s="675"/>
      <c r="U327" s="8"/>
      <c r="V327" s="8"/>
      <c r="W327" s="8"/>
      <c r="X327" s="8"/>
      <c r="Y327" s="8"/>
      <c r="Z327" s="8"/>
      <c r="AA327" s="8"/>
      <c r="AB327" s="8"/>
      <c r="AC327" s="8"/>
    </row>
    <row r="328" ht="12.75" customHeight="1" spans="1:29" x14ac:dyDescent="0.25">
      <c r="A328" s="8"/>
      <c r="B328" s="8"/>
      <c r="C328" s="8"/>
      <c r="D328" s="8"/>
      <c r="E328" s="8"/>
      <c r="F328" s="8"/>
      <c r="G328" s="8"/>
      <c r="H328" s="675"/>
      <c r="I328" s="675"/>
      <c r="J328" s="675"/>
      <c r="K328" s="675"/>
      <c r="L328" s="675"/>
      <c r="M328" s="675"/>
      <c r="N328" s="675"/>
      <c r="O328" s="675"/>
      <c r="P328" s="675"/>
      <c r="Q328" s="675"/>
      <c r="R328" s="675"/>
      <c r="S328" s="675"/>
      <c r="T328" s="675"/>
      <c r="U328" s="8"/>
      <c r="V328" s="8"/>
      <c r="W328" s="8"/>
      <c r="X328" s="8"/>
      <c r="Y328" s="8"/>
      <c r="Z328" s="8"/>
      <c r="AA328" s="8"/>
      <c r="AB328" s="8"/>
      <c r="AC328" s="8"/>
    </row>
    <row r="329" ht="12.75" customHeight="1" spans="1:29" x14ac:dyDescent="0.25">
      <c r="A329" s="8"/>
      <c r="B329" s="8"/>
      <c r="C329" s="8"/>
      <c r="D329" s="8"/>
      <c r="E329" s="8"/>
      <c r="F329" s="8"/>
      <c r="G329" s="8"/>
      <c r="H329" s="675"/>
      <c r="I329" s="675"/>
      <c r="J329" s="675"/>
      <c r="K329" s="675"/>
      <c r="L329" s="675"/>
      <c r="M329" s="675"/>
      <c r="N329" s="675"/>
      <c r="O329" s="675"/>
      <c r="P329" s="675"/>
      <c r="Q329" s="675"/>
      <c r="R329" s="675"/>
      <c r="S329" s="675"/>
      <c r="T329" s="675"/>
      <c r="U329" s="8"/>
      <c r="V329" s="8"/>
      <c r="W329" s="8"/>
      <c r="X329" s="8"/>
      <c r="Y329" s="8"/>
      <c r="Z329" s="8"/>
      <c r="AA329" s="8"/>
      <c r="AB329" s="8"/>
      <c r="AC329" s="8"/>
    </row>
    <row r="330" ht="12.75" customHeight="1" spans="1:29" x14ac:dyDescent="0.25">
      <c r="A330" s="8"/>
      <c r="B330" s="8"/>
      <c r="C330" s="8"/>
      <c r="D330" s="8"/>
      <c r="E330" s="8"/>
      <c r="F330" s="8"/>
      <c r="G330" s="8"/>
      <c r="H330" s="675"/>
      <c r="I330" s="675"/>
      <c r="J330" s="675"/>
      <c r="K330" s="675"/>
      <c r="L330" s="675"/>
      <c r="M330" s="675"/>
      <c r="N330" s="675"/>
      <c r="O330" s="675"/>
      <c r="P330" s="675"/>
      <c r="Q330" s="675"/>
      <c r="R330" s="675"/>
      <c r="S330" s="675"/>
      <c r="T330" s="675"/>
      <c r="U330" s="8"/>
      <c r="V330" s="8"/>
      <c r="W330" s="8"/>
      <c r="X330" s="8"/>
      <c r="Y330" s="8"/>
      <c r="Z330" s="8"/>
      <c r="AA330" s="8"/>
      <c r="AB330" s="8"/>
      <c r="AC330" s="8"/>
    </row>
    <row r="331" ht="12.75" customHeight="1" spans="1:29" x14ac:dyDescent="0.25">
      <c r="A331" s="8"/>
      <c r="B331" s="8"/>
      <c r="C331" s="8"/>
      <c r="D331" s="8"/>
      <c r="E331" s="8"/>
      <c r="F331" s="8"/>
      <c r="G331" s="8"/>
      <c r="H331" s="675"/>
      <c r="I331" s="675"/>
      <c r="J331" s="675"/>
      <c r="K331" s="675"/>
      <c r="L331" s="675"/>
      <c r="M331" s="675"/>
      <c r="N331" s="675"/>
      <c r="O331" s="675"/>
      <c r="P331" s="675"/>
      <c r="Q331" s="675"/>
      <c r="R331" s="675"/>
      <c r="S331" s="675"/>
      <c r="T331" s="675"/>
      <c r="U331" s="8"/>
      <c r="V331" s="8"/>
      <c r="W331" s="8"/>
      <c r="X331" s="8"/>
      <c r="Y331" s="8"/>
      <c r="Z331" s="8"/>
      <c r="AA331" s="8"/>
      <c r="AB331" s="8"/>
      <c r="AC331" s="8"/>
    </row>
    <row r="332" ht="12.75" customHeight="1" spans="1:29" x14ac:dyDescent="0.25">
      <c r="A332" s="8"/>
      <c r="B332" s="8"/>
      <c r="C332" s="8"/>
      <c r="D332" s="8"/>
      <c r="E332" s="8"/>
      <c r="F332" s="8"/>
      <c r="G332" s="8"/>
      <c r="H332" s="675"/>
      <c r="I332" s="675"/>
      <c r="J332" s="675"/>
      <c r="K332" s="675"/>
      <c r="L332" s="675"/>
      <c r="M332" s="675"/>
      <c r="N332" s="675"/>
      <c r="O332" s="675"/>
      <c r="P332" s="675"/>
      <c r="Q332" s="675"/>
      <c r="R332" s="675"/>
      <c r="S332" s="675"/>
      <c r="T332" s="675"/>
      <c r="U332" s="8"/>
      <c r="V332" s="8"/>
      <c r="W332" s="8"/>
      <c r="X332" s="8"/>
      <c r="Y332" s="8"/>
      <c r="Z332" s="8"/>
      <c r="AA332" s="8"/>
      <c r="AB332" s="8"/>
      <c r="AC332" s="8"/>
    </row>
    <row r="333" ht="12.75" customHeight="1" spans="1:29" x14ac:dyDescent="0.25">
      <c r="A333" s="8"/>
      <c r="B333" s="8"/>
      <c r="C333" s="8"/>
      <c r="D333" s="8"/>
      <c r="E333" s="8"/>
      <c r="F333" s="8"/>
      <c r="G333" s="8"/>
      <c r="H333" s="675"/>
      <c r="I333" s="675"/>
      <c r="J333" s="675"/>
      <c r="K333" s="675"/>
      <c r="L333" s="675"/>
      <c r="M333" s="675"/>
      <c r="N333" s="675"/>
      <c r="O333" s="675"/>
      <c r="P333" s="675"/>
      <c r="Q333" s="675"/>
      <c r="R333" s="675"/>
      <c r="S333" s="675"/>
      <c r="T333" s="675"/>
      <c r="U333" s="8"/>
      <c r="V333" s="8"/>
      <c r="W333" s="8"/>
      <c r="X333" s="8"/>
      <c r="Y333" s="8"/>
      <c r="Z333" s="8"/>
      <c r="AA333" s="8"/>
      <c r="AB333" s="8"/>
      <c r="AC333" s="8"/>
    </row>
    <row r="334" ht="12.75" customHeight="1" spans="1:29" x14ac:dyDescent="0.25">
      <c r="A334" s="8"/>
      <c r="B334" s="8"/>
      <c r="C334" s="8"/>
      <c r="D334" s="8"/>
      <c r="E334" s="8"/>
      <c r="F334" s="8"/>
      <c r="G334" s="8"/>
      <c r="H334" s="675"/>
      <c r="I334" s="675"/>
      <c r="J334" s="675"/>
      <c r="K334" s="675"/>
      <c r="L334" s="675"/>
      <c r="M334" s="675"/>
      <c r="N334" s="675"/>
      <c r="O334" s="675"/>
      <c r="P334" s="675"/>
      <c r="Q334" s="675"/>
      <c r="R334" s="675"/>
      <c r="S334" s="675"/>
      <c r="T334" s="675"/>
      <c r="U334" s="8"/>
      <c r="V334" s="8"/>
      <c r="W334" s="8"/>
      <c r="X334" s="8"/>
      <c r="Y334" s="8"/>
      <c r="Z334" s="8"/>
      <c r="AA334" s="8"/>
      <c r="AB334" s="8"/>
      <c r="AC334" s="8"/>
    </row>
    <row r="335" ht="12.75" customHeight="1" spans="1:29" x14ac:dyDescent="0.25">
      <c r="A335" s="8"/>
      <c r="B335" s="8"/>
      <c r="C335" s="8"/>
      <c r="D335" s="8"/>
      <c r="E335" s="8"/>
      <c r="F335" s="8"/>
      <c r="G335" s="8"/>
      <c r="H335" s="675"/>
      <c r="I335" s="675"/>
      <c r="J335" s="675"/>
      <c r="K335" s="675"/>
      <c r="L335" s="675"/>
      <c r="M335" s="675"/>
      <c r="N335" s="675"/>
      <c r="O335" s="675"/>
      <c r="P335" s="675"/>
      <c r="Q335" s="675"/>
      <c r="R335" s="675"/>
      <c r="S335" s="675"/>
      <c r="T335" s="675"/>
      <c r="U335" s="8"/>
      <c r="V335" s="8"/>
      <c r="W335" s="8"/>
      <c r="X335" s="8"/>
      <c r="Y335" s="8"/>
      <c r="Z335" s="8"/>
      <c r="AA335" s="8"/>
      <c r="AB335" s="8"/>
      <c r="AC335" s="8"/>
    </row>
    <row r="336" ht="12.75" customHeight="1" spans="1:29" x14ac:dyDescent="0.25">
      <c r="A336" s="8"/>
      <c r="B336" s="8"/>
      <c r="C336" s="8"/>
      <c r="D336" s="8"/>
      <c r="E336" s="8"/>
      <c r="F336" s="8"/>
      <c r="G336" s="8"/>
      <c r="H336" s="675"/>
      <c r="I336" s="675"/>
      <c r="J336" s="675"/>
      <c r="K336" s="675"/>
      <c r="L336" s="675"/>
      <c r="M336" s="675"/>
      <c r="N336" s="675"/>
      <c r="O336" s="675"/>
      <c r="P336" s="675"/>
      <c r="Q336" s="675"/>
      <c r="R336" s="675"/>
      <c r="S336" s="675"/>
      <c r="T336" s="675"/>
      <c r="U336" s="8"/>
      <c r="V336" s="8"/>
      <c r="W336" s="8"/>
      <c r="X336" s="8"/>
      <c r="Y336" s="8"/>
      <c r="Z336" s="8"/>
      <c r="AA336" s="8"/>
      <c r="AB336" s="8"/>
      <c r="AC336" s="8"/>
    </row>
    <row r="337" ht="12.75" customHeight="1" spans="1:29" x14ac:dyDescent="0.25">
      <c r="A337" s="8"/>
      <c r="B337" s="8"/>
      <c r="C337" s="8"/>
      <c r="D337" s="8"/>
      <c r="E337" s="8"/>
      <c r="F337" s="8"/>
      <c r="G337" s="8"/>
      <c r="H337" s="675"/>
      <c r="I337" s="675"/>
      <c r="J337" s="675"/>
      <c r="K337" s="675"/>
      <c r="L337" s="675"/>
      <c r="M337" s="675"/>
      <c r="N337" s="675"/>
      <c r="O337" s="675"/>
      <c r="P337" s="675"/>
      <c r="Q337" s="675"/>
      <c r="R337" s="675"/>
      <c r="S337" s="675"/>
      <c r="T337" s="675"/>
      <c r="U337" s="8"/>
      <c r="V337" s="8"/>
      <c r="W337" s="8"/>
      <c r="X337" s="8"/>
      <c r="Y337" s="8"/>
      <c r="Z337" s="8"/>
      <c r="AA337" s="8"/>
      <c r="AB337" s="8"/>
      <c r="AC337" s="8"/>
    </row>
    <row r="338" ht="12.75" customHeight="1" spans="1:29" x14ac:dyDescent="0.25">
      <c r="A338" s="8"/>
      <c r="B338" s="8"/>
      <c r="C338" s="8"/>
      <c r="D338" s="8"/>
      <c r="E338" s="8"/>
      <c r="F338" s="8"/>
      <c r="G338" s="8"/>
      <c r="H338" s="675"/>
      <c r="I338" s="675"/>
      <c r="J338" s="675"/>
      <c r="K338" s="675"/>
      <c r="L338" s="675"/>
      <c r="M338" s="675"/>
      <c r="N338" s="675"/>
      <c r="O338" s="675"/>
      <c r="P338" s="675"/>
      <c r="Q338" s="675"/>
      <c r="R338" s="675"/>
      <c r="S338" s="675"/>
      <c r="T338" s="675"/>
      <c r="U338" s="8"/>
      <c r="V338" s="8"/>
      <c r="W338" s="8"/>
      <c r="X338" s="8"/>
      <c r="Y338" s="8"/>
      <c r="Z338" s="8"/>
      <c r="AA338" s="8"/>
      <c r="AB338" s="8"/>
      <c r="AC338" s="8"/>
    </row>
    <row r="339" ht="12.75" customHeight="1" spans="1:29" x14ac:dyDescent="0.25">
      <c r="A339" s="8"/>
      <c r="B339" s="8"/>
      <c r="C339" s="8"/>
      <c r="D339" s="8"/>
      <c r="E339" s="8"/>
      <c r="F339" s="8"/>
      <c r="G339" s="8"/>
      <c r="H339" s="675"/>
      <c r="I339" s="675"/>
      <c r="J339" s="675"/>
      <c r="K339" s="675"/>
      <c r="L339" s="675"/>
      <c r="M339" s="675"/>
      <c r="N339" s="675"/>
      <c r="O339" s="675"/>
      <c r="P339" s="675"/>
      <c r="Q339" s="675"/>
      <c r="R339" s="675"/>
      <c r="S339" s="675"/>
      <c r="T339" s="675"/>
      <c r="U339" s="8"/>
      <c r="V339" s="8"/>
      <c r="W339" s="8"/>
      <c r="X339" s="8"/>
      <c r="Y339" s="8"/>
      <c r="Z339" s="8"/>
      <c r="AA339" s="8"/>
      <c r="AB339" s="8"/>
      <c r="AC339" s="8"/>
    </row>
    <row r="340" ht="12.75" customHeight="1" spans="1:29" x14ac:dyDescent="0.25">
      <c r="A340" s="8"/>
      <c r="B340" s="8"/>
      <c r="C340" s="8"/>
      <c r="D340" s="8"/>
      <c r="E340" s="8"/>
      <c r="F340" s="8"/>
      <c r="G340" s="8"/>
      <c r="H340" s="675"/>
      <c r="I340" s="675"/>
      <c r="J340" s="675"/>
      <c r="K340" s="675"/>
      <c r="L340" s="675"/>
      <c r="M340" s="675"/>
      <c r="N340" s="675"/>
      <c r="O340" s="675"/>
      <c r="P340" s="675"/>
      <c r="Q340" s="675"/>
      <c r="R340" s="675"/>
      <c r="S340" s="675"/>
      <c r="T340" s="675"/>
      <c r="U340" s="8"/>
      <c r="V340" s="8"/>
      <c r="W340" s="8"/>
      <c r="X340" s="8"/>
      <c r="Y340" s="8"/>
      <c r="Z340" s="8"/>
      <c r="AA340" s="8"/>
      <c r="AB340" s="8"/>
      <c r="AC340" s="8"/>
    </row>
    <row r="341" ht="12.75" customHeight="1" spans="1:29" x14ac:dyDescent="0.25">
      <c r="A341" s="8"/>
      <c r="B341" s="8"/>
      <c r="C341" s="8"/>
      <c r="D341" s="8"/>
      <c r="E341" s="8"/>
      <c r="F341" s="8"/>
      <c r="G341" s="8"/>
      <c r="H341" s="675"/>
      <c r="I341" s="675"/>
      <c r="J341" s="675"/>
      <c r="K341" s="675"/>
      <c r="L341" s="675"/>
      <c r="M341" s="675"/>
      <c r="N341" s="675"/>
      <c r="O341" s="675"/>
      <c r="P341" s="675"/>
      <c r="Q341" s="675"/>
      <c r="R341" s="675"/>
      <c r="S341" s="675"/>
      <c r="T341" s="675"/>
      <c r="U341" s="8"/>
      <c r="V341" s="8"/>
      <c r="W341" s="8"/>
      <c r="X341" s="8"/>
      <c r="Y341" s="8"/>
      <c r="Z341" s="8"/>
      <c r="AA341" s="8"/>
      <c r="AB341" s="8"/>
      <c r="AC341" s="8"/>
    </row>
    <row r="342" ht="12.75" customHeight="1" spans="1:29" x14ac:dyDescent="0.25">
      <c r="A342" s="8"/>
      <c r="B342" s="8"/>
      <c r="C342" s="8"/>
      <c r="D342" s="8"/>
      <c r="E342" s="8"/>
      <c r="F342" s="8"/>
      <c r="G342" s="8"/>
      <c r="H342" s="675"/>
      <c r="I342" s="675"/>
      <c r="J342" s="675"/>
      <c r="K342" s="675"/>
      <c r="L342" s="675"/>
      <c r="M342" s="675"/>
      <c r="N342" s="675"/>
      <c r="O342" s="675"/>
      <c r="P342" s="675"/>
      <c r="Q342" s="675"/>
      <c r="R342" s="675"/>
      <c r="S342" s="675"/>
      <c r="T342" s="675"/>
      <c r="U342" s="8"/>
      <c r="V342" s="8"/>
      <c r="W342" s="8"/>
      <c r="X342" s="8"/>
      <c r="Y342" s="8"/>
      <c r="Z342" s="8"/>
      <c r="AA342" s="8"/>
      <c r="AB342" s="8"/>
      <c r="AC342" s="8"/>
    </row>
    <row r="343" ht="12.75" customHeight="1" spans="1:29" x14ac:dyDescent="0.25">
      <c r="A343" s="8"/>
      <c r="B343" s="8"/>
      <c r="C343" s="8"/>
      <c r="D343" s="8"/>
      <c r="E343" s="8"/>
      <c r="F343" s="8"/>
      <c r="G343" s="8"/>
      <c r="H343" s="675"/>
      <c r="I343" s="675"/>
      <c r="J343" s="675"/>
      <c r="K343" s="675"/>
      <c r="L343" s="675"/>
      <c r="M343" s="675"/>
      <c r="N343" s="675"/>
      <c r="O343" s="675"/>
      <c r="P343" s="675"/>
      <c r="Q343" s="675"/>
      <c r="R343" s="675"/>
      <c r="S343" s="675"/>
      <c r="T343" s="675"/>
      <c r="U343" s="8"/>
      <c r="V343" s="8"/>
      <c r="W343" s="8"/>
      <c r="X343" s="8"/>
      <c r="Y343" s="8"/>
      <c r="Z343" s="8"/>
      <c r="AA343" s="8"/>
      <c r="AB343" s="8"/>
      <c r="AC343" s="8"/>
    </row>
    <row r="344" ht="12.75" customHeight="1" spans="1:29" x14ac:dyDescent="0.25">
      <c r="A344" s="8"/>
      <c r="B344" s="8"/>
      <c r="C344" s="8"/>
      <c r="D344" s="8"/>
      <c r="E344" s="8"/>
      <c r="F344" s="8"/>
      <c r="G344" s="8"/>
      <c r="H344" s="675"/>
      <c r="I344" s="675"/>
      <c r="J344" s="675"/>
      <c r="K344" s="675"/>
      <c r="L344" s="675"/>
      <c r="M344" s="675"/>
      <c r="N344" s="675"/>
      <c r="O344" s="675"/>
      <c r="P344" s="675"/>
      <c r="Q344" s="675"/>
      <c r="R344" s="675"/>
      <c r="S344" s="675"/>
      <c r="T344" s="675"/>
      <c r="U344" s="8"/>
      <c r="V344" s="8"/>
      <c r="W344" s="8"/>
      <c r="X344" s="8"/>
      <c r="Y344" s="8"/>
      <c r="Z344" s="8"/>
      <c r="AA344" s="8"/>
      <c r="AB344" s="8"/>
      <c r="AC344" s="8"/>
    </row>
    <row r="345" ht="12.75" customHeight="1" spans="1:29" x14ac:dyDescent="0.25">
      <c r="A345" s="8"/>
      <c r="B345" s="8"/>
      <c r="C345" s="8"/>
      <c r="D345" s="8"/>
      <c r="E345" s="8"/>
      <c r="F345" s="8"/>
      <c r="G345" s="8"/>
      <c r="H345" s="675"/>
      <c r="I345" s="675"/>
      <c r="J345" s="675"/>
      <c r="K345" s="675"/>
      <c r="L345" s="675"/>
      <c r="M345" s="675"/>
      <c r="N345" s="675"/>
      <c r="O345" s="675"/>
      <c r="P345" s="675"/>
      <c r="Q345" s="675"/>
      <c r="R345" s="675"/>
      <c r="S345" s="675"/>
      <c r="T345" s="675"/>
      <c r="U345" s="8"/>
      <c r="V345" s="8"/>
      <c r="W345" s="8"/>
      <c r="X345" s="8"/>
      <c r="Y345" s="8"/>
      <c r="Z345" s="8"/>
      <c r="AA345" s="8"/>
      <c r="AB345" s="8"/>
      <c r="AC345" s="8"/>
    </row>
    <row r="346" ht="12.75" customHeight="1" spans="1:29" x14ac:dyDescent="0.25">
      <c r="A346" s="8"/>
      <c r="B346" s="8"/>
      <c r="C346" s="8"/>
      <c r="D346" s="8"/>
      <c r="E346" s="8"/>
      <c r="F346" s="8"/>
      <c r="G346" s="8"/>
      <c r="H346" s="675"/>
      <c r="I346" s="675"/>
      <c r="J346" s="675"/>
      <c r="K346" s="675"/>
      <c r="L346" s="675"/>
      <c r="M346" s="675"/>
      <c r="N346" s="675"/>
      <c r="O346" s="675"/>
      <c r="P346" s="675"/>
      <c r="Q346" s="675"/>
      <c r="R346" s="675"/>
      <c r="S346" s="675"/>
      <c r="T346" s="675"/>
      <c r="U346" s="8"/>
      <c r="V346" s="8"/>
      <c r="W346" s="8"/>
      <c r="X346" s="8"/>
      <c r="Y346" s="8"/>
      <c r="Z346" s="8"/>
      <c r="AA346" s="8"/>
      <c r="AB346" s="8"/>
      <c r="AC346" s="8"/>
    </row>
    <row r="347" ht="12.75" customHeight="1" spans="1:29" x14ac:dyDescent="0.25">
      <c r="A347" s="8"/>
      <c r="B347" s="8"/>
      <c r="C347" s="8"/>
      <c r="D347" s="8"/>
      <c r="E347" s="8"/>
      <c r="F347" s="8"/>
      <c r="G347" s="8"/>
      <c r="H347" s="675"/>
      <c r="I347" s="675"/>
      <c r="J347" s="675"/>
      <c r="K347" s="675"/>
      <c r="L347" s="675"/>
      <c r="M347" s="675"/>
      <c r="N347" s="675"/>
      <c r="O347" s="675"/>
      <c r="P347" s="675"/>
      <c r="Q347" s="675"/>
      <c r="R347" s="675"/>
      <c r="S347" s="675"/>
      <c r="T347" s="675"/>
      <c r="U347" s="8"/>
      <c r="V347" s="8"/>
      <c r="W347" s="8"/>
      <c r="X347" s="8"/>
      <c r="Y347" s="8"/>
      <c r="Z347" s="8"/>
      <c r="AA347" s="8"/>
      <c r="AB347" s="8"/>
      <c r="AC347" s="8"/>
    </row>
    <row r="348" ht="12.75" customHeight="1" spans="1:29" x14ac:dyDescent="0.25">
      <c r="A348" s="8"/>
      <c r="B348" s="8"/>
      <c r="C348" s="8"/>
      <c r="D348" s="8"/>
      <c r="E348" s="8"/>
      <c r="F348" s="8"/>
      <c r="G348" s="8"/>
      <c r="H348" s="675"/>
      <c r="I348" s="675"/>
      <c r="J348" s="675"/>
      <c r="K348" s="675"/>
      <c r="L348" s="675"/>
      <c r="M348" s="675"/>
      <c r="N348" s="675"/>
      <c r="O348" s="675"/>
      <c r="P348" s="675"/>
      <c r="Q348" s="675"/>
      <c r="R348" s="675"/>
      <c r="S348" s="675"/>
      <c r="T348" s="675"/>
      <c r="U348" s="8"/>
      <c r="V348" s="8"/>
      <c r="W348" s="8"/>
      <c r="X348" s="8"/>
      <c r="Y348" s="8"/>
      <c r="Z348" s="8"/>
      <c r="AA348" s="8"/>
      <c r="AB348" s="8"/>
      <c r="AC348" s="8"/>
    </row>
    <row r="349" ht="12.75" customHeight="1" spans="1:29" x14ac:dyDescent="0.25">
      <c r="A349" s="8"/>
      <c r="B349" s="8"/>
      <c r="C349" s="8"/>
      <c r="D349" s="8"/>
      <c r="E349" s="8"/>
      <c r="F349" s="8"/>
      <c r="G349" s="8"/>
      <c r="H349" s="675"/>
      <c r="I349" s="675"/>
      <c r="J349" s="675"/>
      <c r="K349" s="675"/>
      <c r="L349" s="675"/>
      <c r="M349" s="675"/>
      <c r="N349" s="675"/>
      <c r="O349" s="675"/>
      <c r="P349" s="675"/>
      <c r="Q349" s="675"/>
      <c r="R349" s="675"/>
      <c r="S349" s="675"/>
      <c r="T349" s="675"/>
      <c r="U349" s="8"/>
      <c r="V349" s="8"/>
      <c r="W349" s="8"/>
      <c r="X349" s="8"/>
      <c r="Y349" s="8"/>
      <c r="Z349" s="8"/>
      <c r="AA349" s="8"/>
      <c r="AB349" s="8"/>
      <c r="AC349" s="8"/>
    </row>
    <row r="350" ht="12.75" customHeight="1" spans="1:29" x14ac:dyDescent="0.25">
      <c r="A350" s="8"/>
      <c r="B350" s="8"/>
      <c r="C350" s="8"/>
      <c r="D350" s="8"/>
      <c r="E350" s="8"/>
      <c r="F350" s="8"/>
      <c r="G350" s="8"/>
      <c r="H350" s="675"/>
      <c r="I350" s="675"/>
      <c r="J350" s="675"/>
      <c r="K350" s="675"/>
      <c r="L350" s="675"/>
      <c r="M350" s="675"/>
      <c r="N350" s="675"/>
      <c r="O350" s="675"/>
      <c r="P350" s="675"/>
      <c r="Q350" s="675"/>
      <c r="R350" s="675"/>
      <c r="S350" s="675"/>
      <c r="T350" s="675"/>
      <c r="U350" s="8"/>
      <c r="V350" s="8"/>
      <c r="W350" s="8"/>
      <c r="X350" s="8"/>
      <c r="Y350" s="8"/>
      <c r="Z350" s="8"/>
      <c r="AA350" s="8"/>
      <c r="AB350" s="8"/>
      <c r="AC350" s="8"/>
    </row>
    <row r="351" ht="12.75" customHeight="1" spans="1:29" x14ac:dyDescent="0.25">
      <c r="A351" s="8"/>
      <c r="B351" s="8"/>
      <c r="C351" s="8"/>
      <c r="D351" s="8"/>
      <c r="E351" s="8"/>
      <c r="F351" s="8"/>
      <c r="G351" s="8"/>
      <c r="H351" s="675"/>
      <c r="I351" s="675"/>
      <c r="J351" s="675"/>
      <c r="K351" s="675"/>
      <c r="L351" s="675"/>
      <c r="M351" s="675"/>
      <c r="N351" s="675"/>
      <c r="O351" s="675"/>
      <c r="P351" s="675"/>
      <c r="Q351" s="675"/>
      <c r="R351" s="675"/>
      <c r="S351" s="675"/>
      <c r="T351" s="675"/>
      <c r="U351" s="8"/>
      <c r="V351" s="8"/>
      <c r="W351" s="8"/>
      <c r="X351" s="8"/>
      <c r="Y351" s="8"/>
      <c r="Z351" s="8"/>
      <c r="AA351" s="8"/>
      <c r="AB351" s="8"/>
      <c r="AC351" s="8"/>
    </row>
    <row r="352" ht="12.75" customHeight="1" spans="1:29" x14ac:dyDescent="0.25">
      <c r="A352" s="8"/>
      <c r="B352" s="8"/>
      <c r="C352" s="8"/>
      <c r="D352" s="8"/>
      <c r="E352" s="8"/>
      <c r="F352" s="8"/>
      <c r="G352" s="8"/>
      <c r="H352" s="675"/>
      <c r="I352" s="675"/>
      <c r="J352" s="675"/>
      <c r="K352" s="675"/>
      <c r="L352" s="675"/>
      <c r="M352" s="675"/>
      <c r="N352" s="675"/>
      <c r="O352" s="675"/>
      <c r="P352" s="675"/>
      <c r="Q352" s="675"/>
      <c r="R352" s="675"/>
      <c r="S352" s="675"/>
      <c r="T352" s="675"/>
      <c r="U352" s="8"/>
      <c r="V352" s="8"/>
      <c r="W352" s="8"/>
      <c r="X352" s="8"/>
      <c r="Y352" s="8"/>
      <c r="Z352" s="8"/>
      <c r="AA352" s="8"/>
      <c r="AB352" s="8"/>
      <c r="AC352" s="8"/>
    </row>
    <row r="353" ht="12.75" customHeight="1" spans="1:29" x14ac:dyDescent="0.25">
      <c r="A353" s="8"/>
      <c r="B353" s="8"/>
      <c r="C353" s="8"/>
      <c r="D353" s="8"/>
      <c r="E353" s="8"/>
      <c r="F353" s="8"/>
      <c r="G353" s="8"/>
      <c r="H353" s="675"/>
      <c r="I353" s="675"/>
      <c r="J353" s="675"/>
      <c r="K353" s="675"/>
      <c r="L353" s="675"/>
      <c r="M353" s="675"/>
      <c r="N353" s="675"/>
      <c r="O353" s="675"/>
      <c r="P353" s="675"/>
      <c r="Q353" s="675"/>
      <c r="R353" s="675"/>
      <c r="S353" s="675"/>
      <c r="T353" s="675"/>
      <c r="U353" s="8"/>
      <c r="V353" s="8"/>
      <c r="W353" s="8"/>
      <c r="X353" s="8"/>
      <c r="Y353" s="8"/>
      <c r="Z353" s="8"/>
      <c r="AA353" s="8"/>
      <c r="AB353" s="8"/>
      <c r="AC353" s="8"/>
    </row>
    <row r="354" ht="12.75" customHeight="1" spans="1:29" x14ac:dyDescent="0.25">
      <c r="A354" s="8"/>
      <c r="B354" s="8"/>
      <c r="C354" s="8"/>
      <c r="D354" s="8"/>
      <c r="E354" s="8"/>
      <c r="F354" s="8"/>
      <c r="G354" s="8"/>
      <c r="H354" s="675"/>
      <c r="I354" s="675"/>
      <c r="J354" s="675"/>
      <c r="K354" s="675"/>
      <c r="L354" s="675"/>
      <c r="M354" s="675"/>
      <c r="N354" s="675"/>
      <c r="O354" s="675"/>
      <c r="P354" s="675"/>
      <c r="Q354" s="675"/>
      <c r="R354" s="675"/>
      <c r="S354" s="675"/>
      <c r="T354" s="675"/>
      <c r="U354" s="8"/>
      <c r="V354" s="8"/>
      <c r="W354" s="8"/>
      <c r="X354" s="8"/>
      <c r="Y354" s="8"/>
      <c r="Z354" s="8"/>
      <c r="AA354" s="8"/>
      <c r="AB354" s="8"/>
      <c r="AC354" s="8"/>
    </row>
    <row r="355" ht="12.75" customHeight="1" spans="1:29" x14ac:dyDescent="0.25">
      <c r="A355" s="8"/>
      <c r="B355" s="8"/>
      <c r="C355" s="8"/>
      <c r="D355" s="8"/>
      <c r="E355" s="8"/>
      <c r="F355" s="8"/>
      <c r="G355" s="8"/>
      <c r="H355" s="675"/>
      <c r="I355" s="675"/>
      <c r="J355" s="675"/>
      <c r="K355" s="675"/>
      <c r="L355" s="675"/>
      <c r="M355" s="675"/>
      <c r="N355" s="675"/>
      <c r="O355" s="675"/>
      <c r="P355" s="675"/>
      <c r="Q355" s="675"/>
      <c r="R355" s="675"/>
      <c r="S355" s="675"/>
      <c r="T355" s="675"/>
      <c r="U355" s="8"/>
      <c r="V355" s="8"/>
      <c r="W355" s="8"/>
      <c r="X355" s="8"/>
      <c r="Y355" s="8"/>
      <c r="Z355" s="8"/>
      <c r="AA355" s="8"/>
      <c r="AB355" s="8"/>
      <c r="AC355" s="8"/>
    </row>
    <row r="356" ht="12.75" customHeight="1" spans="1:29" x14ac:dyDescent="0.25">
      <c r="A356" s="8"/>
      <c r="B356" s="8"/>
      <c r="C356" s="8"/>
      <c r="D356" s="8"/>
      <c r="E356" s="8"/>
      <c r="F356" s="8"/>
      <c r="G356" s="8"/>
      <c r="H356" s="675"/>
      <c r="I356" s="675"/>
      <c r="J356" s="675"/>
      <c r="K356" s="675"/>
      <c r="L356" s="675"/>
      <c r="M356" s="675"/>
      <c r="N356" s="675"/>
      <c r="O356" s="675"/>
      <c r="P356" s="675"/>
      <c r="Q356" s="675"/>
      <c r="R356" s="675"/>
      <c r="S356" s="675"/>
      <c r="T356" s="675"/>
      <c r="U356" s="8"/>
      <c r="V356" s="8"/>
      <c r="W356" s="8"/>
      <c r="X356" s="8"/>
      <c r="Y356" s="8"/>
      <c r="Z356" s="8"/>
      <c r="AA356" s="8"/>
      <c r="AB356" s="8"/>
      <c r="AC356" s="8"/>
    </row>
    <row r="357" ht="12.75" customHeight="1" spans="1:29" x14ac:dyDescent="0.25">
      <c r="A357" s="8"/>
      <c r="B357" s="8"/>
      <c r="C357" s="8"/>
      <c r="D357" s="8"/>
      <c r="E357" s="8"/>
      <c r="F357" s="8"/>
      <c r="G357" s="8"/>
      <c r="H357" s="675"/>
      <c r="I357" s="675"/>
      <c r="J357" s="675"/>
      <c r="K357" s="675"/>
      <c r="L357" s="675"/>
      <c r="M357" s="675"/>
      <c r="N357" s="675"/>
      <c r="O357" s="675"/>
      <c r="P357" s="675"/>
      <c r="Q357" s="675"/>
      <c r="R357" s="675"/>
      <c r="S357" s="675"/>
      <c r="T357" s="675"/>
      <c r="U357" s="8"/>
      <c r="V357" s="8"/>
      <c r="W357" s="8"/>
      <c r="X357" s="8"/>
      <c r="Y357" s="8"/>
      <c r="Z357" s="8"/>
      <c r="AA357" s="8"/>
      <c r="AB357" s="8"/>
      <c r="AC357" s="8"/>
    </row>
    <row r="358" ht="12.75" customHeight="1" spans="1:29" x14ac:dyDescent="0.25">
      <c r="A358" s="8"/>
      <c r="B358" s="8"/>
      <c r="C358" s="8"/>
      <c r="D358" s="8"/>
      <c r="E358" s="8"/>
      <c r="F358" s="8"/>
      <c r="G358" s="8"/>
      <c r="H358" s="675"/>
      <c r="I358" s="675"/>
      <c r="J358" s="675"/>
      <c r="K358" s="675"/>
      <c r="L358" s="675"/>
      <c r="M358" s="675"/>
      <c r="N358" s="675"/>
      <c r="O358" s="675"/>
      <c r="P358" s="675"/>
      <c r="Q358" s="675"/>
      <c r="R358" s="675"/>
      <c r="S358" s="675"/>
      <c r="T358" s="675"/>
      <c r="U358" s="8"/>
      <c r="V358" s="8"/>
      <c r="W358" s="8"/>
      <c r="X358" s="8"/>
      <c r="Y358" s="8"/>
      <c r="Z358" s="8"/>
      <c r="AA358" s="8"/>
      <c r="AB358" s="8"/>
      <c r="AC358" s="8"/>
    </row>
    <row r="359" ht="12.75" customHeight="1" spans="1:29" x14ac:dyDescent="0.25">
      <c r="A359" s="8"/>
      <c r="B359" s="8"/>
      <c r="C359" s="8"/>
      <c r="D359" s="8"/>
      <c r="E359" s="8"/>
      <c r="F359" s="8"/>
      <c r="G359" s="8"/>
      <c r="H359" s="675"/>
      <c r="I359" s="675"/>
      <c r="J359" s="675"/>
      <c r="K359" s="675"/>
      <c r="L359" s="675"/>
      <c r="M359" s="675"/>
      <c r="N359" s="675"/>
      <c r="O359" s="675"/>
      <c r="P359" s="675"/>
      <c r="Q359" s="675"/>
      <c r="R359" s="675"/>
      <c r="S359" s="675"/>
      <c r="T359" s="675"/>
      <c r="U359" s="8"/>
      <c r="V359" s="8"/>
      <c r="W359" s="8"/>
      <c r="X359" s="8"/>
      <c r="Y359" s="8"/>
      <c r="Z359" s="8"/>
      <c r="AA359" s="8"/>
      <c r="AB359" s="8"/>
      <c r="AC359" s="8"/>
    </row>
    <row r="360" ht="12.75" customHeight="1" spans="1:29" x14ac:dyDescent="0.25">
      <c r="A360" s="8"/>
      <c r="B360" s="8"/>
      <c r="C360" s="8"/>
      <c r="D360" s="8"/>
      <c r="E360" s="8"/>
      <c r="F360" s="8"/>
      <c r="G360" s="8"/>
      <c r="H360" s="675"/>
      <c r="I360" s="675"/>
      <c r="J360" s="675"/>
      <c r="K360" s="675"/>
      <c r="L360" s="675"/>
      <c r="M360" s="675"/>
      <c r="N360" s="675"/>
      <c r="O360" s="675"/>
      <c r="P360" s="675"/>
      <c r="Q360" s="675"/>
      <c r="R360" s="675"/>
      <c r="S360" s="675"/>
      <c r="T360" s="675"/>
      <c r="U360" s="8"/>
      <c r="V360" s="8"/>
      <c r="W360" s="8"/>
      <c r="X360" s="8"/>
      <c r="Y360" s="8"/>
      <c r="Z360" s="8"/>
      <c r="AA360" s="8"/>
      <c r="AB360" s="8"/>
      <c r="AC360" s="8"/>
    </row>
    <row r="361" ht="12.75" customHeight="1" spans="1:29" x14ac:dyDescent="0.25">
      <c r="A361" s="8"/>
      <c r="B361" s="8"/>
      <c r="C361" s="8"/>
      <c r="D361" s="8"/>
      <c r="E361" s="8"/>
      <c r="F361" s="8"/>
      <c r="G361" s="8"/>
      <c r="H361" s="675"/>
      <c r="I361" s="675"/>
      <c r="J361" s="675"/>
      <c r="K361" s="675"/>
      <c r="L361" s="675"/>
      <c r="M361" s="675"/>
      <c r="N361" s="675"/>
      <c r="O361" s="675"/>
      <c r="P361" s="675"/>
      <c r="Q361" s="675"/>
      <c r="R361" s="675"/>
      <c r="S361" s="675"/>
      <c r="T361" s="675"/>
      <c r="U361" s="8"/>
      <c r="V361" s="8"/>
      <c r="W361" s="8"/>
      <c r="X361" s="8"/>
      <c r="Y361" s="8"/>
      <c r="Z361" s="8"/>
      <c r="AA361" s="8"/>
      <c r="AB361" s="8"/>
      <c r="AC361" s="8"/>
    </row>
    <row r="362" ht="12.75" customHeight="1" spans="1:29" x14ac:dyDescent="0.25">
      <c r="A362" s="8"/>
      <c r="B362" s="8"/>
      <c r="C362" s="8"/>
      <c r="D362" s="8"/>
      <c r="E362" s="8"/>
      <c r="F362" s="8"/>
      <c r="G362" s="8"/>
      <c r="H362" s="675"/>
      <c r="I362" s="675"/>
      <c r="J362" s="675"/>
      <c r="K362" s="675"/>
      <c r="L362" s="675"/>
      <c r="M362" s="675"/>
      <c r="N362" s="675"/>
      <c r="O362" s="675"/>
      <c r="P362" s="675"/>
      <c r="Q362" s="675"/>
      <c r="R362" s="675"/>
      <c r="S362" s="675"/>
      <c r="T362" s="675"/>
      <c r="U362" s="8"/>
      <c r="V362" s="8"/>
      <c r="W362" s="8"/>
      <c r="X362" s="8"/>
      <c r="Y362" s="8"/>
      <c r="Z362" s="8"/>
      <c r="AA362" s="8"/>
      <c r="AB362" s="8"/>
      <c r="AC362" s="8"/>
    </row>
    <row r="363" ht="12.75" customHeight="1" spans="1:29" x14ac:dyDescent="0.25">
      <c r="A363" s="8"/>
      <c r="B363" s="8"/>
      <c r="C363" s="8"/>
      <c r="D363" s="8"/>
      <c r="E363" s="8"/>
      <c r="F363" s="8"/>
      <c r="G363" s="8"/>
      <c r="H363" s="675"/>
      <c r="I363" s="675"/>
      <c r="J363" s="675"/>
      <c r="K363" s="675"/>
      <c r="L363" s="675"/>
      <c r="M363" s="675"/>
      <c r="N363" s="675"/>
      <c r="O363" s="675"/>
      <c r="P363" s="675"/>
      <c r="Q363" s="675"/>
      <c r="R363" s="675"/>
      <c r="S363" s="675"/>
      <c r="T363" s="675"/>
      <c r="U363" s="8"/>
      <c r="V363" s="8"/>
      <c r="W363" s="8"/>
      <c r="X363" s="8"/>
      <c r="Y363" s="8"/>
      <c r="Z363" s="8"/>
      <c r="AA363" s="8"/>
      <c r="AB363" s="8"/>
      <c r="AC363" s="8"/>
    </row>
    <row r="364" ht="12.75" customHeight="1" spans="1:29" x14ac:dyDescent="0.25">
      <c r="A364" s="8"/>
      <c r="B364" s="8"/>
      <c r="C364" s="8"/>
      <c r="D364" s="8"/>
      <c r="E364" s="8"/>
      <c r="F364" s="8"/>
      <c r="G364" s="8"/>
      <c r="H364" s="675"/>
      <c r="I364" s="675"/>
      <c r="J364" s="675"/>
      <c r="K364" s="675"/>
      <c r="L364" s="675"/>
      <c r="M364" s="675"/>
      <c r="N364" s="675"/>
      <c r="O364" s="675"/>
      <c r="P364" s="675"/>
      <c r="Q364" s="675"/>
      <c r="R364" s="675"/>
      <c r="S364" s="675"/>
      <c r="T364" s="675"/>
      <c r="U364" s="8"/>
      <c r="V364" s="8"/>
      <c r="W364" s="8"/>
      <c r="X364" s="8"/>
      <c r="Y364" s="8"/>
      <c r="Z364" s="8"/>
      <c r="AA364" s="8"/>
      <c r="AB364" s="8"/>
      <c r="AC364" s="8"/>
    </row>
    <row r="365" ht="12.75" customHeight="1" spans="1:29" x14ac:dyDescent="0.25">
      <c r="A365" s="8"/>
      <c r="B365" s="8"/>
      <c r="C365" s="8"/>
      <c r="D365" s="8"/>
      <c r="E365" s="8"/>
      <c r="F365" s="8"/>
      <c r="G365" s="8"/>
      <c r="H365" s="675"/>
      <c r="I365" s="675"/>
      <c r="J365" s="675"/>
      <c r="K365" s="675"/>
      <c r="L365" s="675"/>
      <c r="M365" s="675"/>
      <c r="N365" s="675"/>
      <c r="O365" s="675"/>
      <c r="P365" s="675"/>
      <c r="Q365" s="675"/>
      <c r="R365" s="675"/>
      <c r="S365" s="675"/>
      <c r="T365" s="675"/>
      <c r="U365" s="8"/>
      <c r="V365" s="8"/>
      <c r="W365" s="8"/>
      <c r="X365" s="8"/>
      <c r="Y365" s="8"/>
      <c r="Z365" s="8"/>
      <c r="AA365" s="8"/>
      <c r="AB365" s="8"/>
      <c r="AC365" s="8"/>
    </row>
    <row r="366" ht="12.75" customHeight="1" spans="1:29" x14ac:dyDescent="0.25">
      <c r="A366" s="8"/>
      <c r="B366" s="8"/>
      <c r="C366" s="8"/>
      <c r="D366" s="8"/>
      <c r="E366" s="8"/>
      <c r="F366" s="8"/>
      <c r="G366" s="8"/>
      <c r="H366" s="675"/>
      <c r="I366" s="675"/>
      <c r="J366" s="675"/>
      <c r="K366" s="675"/>
      <c r="L366" s="675"/>
      <c r="M366" s="675"/>
      <c r="N366" s="675"/>
      <c r="O366" s="675"/>
      <c r="P366" s="675"/>
      <c r="Q366" s="675"/>
      <c r="R366" s="675"/>
      <c r="S366" s="675"/>
      <c r="T366" s="675"/>
      <c r="U366" s="8"/>
      <c r="V366" s="8"/>
      <c r="W366" s="8"/>
      <c r="X366" s="8"/>
      <c r="Y366" s="8"/>
      <c r="Z366" s="8"/>
      <c r="AA366" s="8"/>
      <c r="AB366" s="8"/>
      <c r="AC366" s="8"/>
    </row>
    <row r="367" ht="12.75" customHeight="1" spans="1:29" x14ac:dyDescent="0.25">
      <c r="A367" s="8"/>
      <c r="B367" s="8"/>
      <c r="C367" s="8"/>
      <c r="D367" s="8"/>
      <c r="E367" s="8"/>
      <c r="F367" s="8"/>
      <c r="G367" s="8"/>
      <c r="H367" s="675"/>
      <c r="I367" s="675"/>
      <c r="J367" s="675"/>
      <c r="K367" s="675"/>
      <c r="L367" s="675"/>
      <c r="M367" s="675"/>
      <c r="N367" s="675"/>
      <c r="O367" s="675"/>
      <c r="P367" s="675"/>
      <c r="Q367" s="675"/>
      <c r="R367" s="675"/>
      <c r="S367" s="675"/>
      <c r="T367" s="675"/>
      <c r="U367" s="8"/>
      <c r="V367" s="8"/>
      <c r="W367" s="8"/>
      <c r="X367" s="8"/>
      <c r="Y367" s="8"/>
      <c r="Z367" s="8"/>
      <c r="AA367" s="8"/>
      <c r="AB367" s="8"/>
      <c r="AC367" s="8"/>
    </row>
    <row r="368" ht="12.75" customHeight="1" spans="1:29" x14ac:dyDescent="0.25">
      <c r="A368" s="8"/>
      <c r="B368" s="8"/>
      <c r="C368" s="8"/>
      <c r="D368" s="8"/>
      <c r="E368" s="8"/>
      <c r="F368" s="8"/>
      <c r="G368" s="8"/>
      <c r="H368" s="675"/>
      <c r="I368" s="675"/>
      <c r="J368" s="675"/>
      <c r="K368" s="675"/>
      <c r="L368" s="675"/>
      <c r="M368" s="675"/>
      <c r="N368" s="675"/>
      <c r="O368" s="675"/>
      <c r="P368" s="675"/>
      <c r="Q368" s="675"/>
      <c r="R368" s="675"/>
      <c r="S368" s="675"/>
      <c r="T368" s="675"/>
      <c r="U368" s="8"/>
      <c r="V368" s="8"/>
      <c r="W368" s="8"/>
      <c r="X368" s="8"/>
      <c r="Y368" s="8"/>
      <c r="Z368" s="8"/>
      <c r="AA368" s="8"/>
      <c r="AB368" s="8"/>
      <c r="AC368" s="8"/>
    </row>
    <row r="369" ht="12.75" customHeight="1" spans="1:29" x14ac:dyDescent="0.25">
      <c r="A369" s="8"/>
      <c r="B369" s="8"/>
      <c r="C369" s="8"/>
      <c r="D369" s="8"/>
      <c r="E369" s="8"/>
      <c r="F369" s="8"/>
      <c r="G369" s="8"/>
      <c r="H369" s="675"/>
      <c r="I369" s="675"/>
      <c r="J369" s="675"/>
      <c r="K369" s="675"/>
      <c r="L369" s="675"/>
      <c r="M369" s="675"/>
      <c r="N369" s="675"/>
      <c r="O369" s="675"/>
      <c r="P369" s="675"/>
      <c r="Q369" s="675"/>
      <c r="R369" s="675"/>
      <c r="S369" s="675"/>
      <c r="T369" s="675"/>
      <c r="U369" s="8"/>
      <c r="V369" s="8"/>
      <c r="W369" s="8"/>
      <c r="X369" s="8"/>
      <c r="Y369" s="8"/>
      <c r="Z369" s="8"/>
      <c r="AA369" s="8"/>
      <c r="AB369" s="8"/>
      <c r="AC369" s="8"/>
    </row>
    <row r="370" ht="12.75" customHeight="1" spans="1:29" x14ac:dyDescent="0.25">
      <c r="A370" s="8"/>
      <c r="B370" s="8"/>
      <c r="C370" s="8"/>
      <c r="D370" s="8"/>
      <c r="E370" s="8"/>
      <c r="F370" s="8"/>
      <c r="G370" s="8"/>
      <c r="H370" s="675"/>
      <c r="I370" s="675"/>
      <c r="J370" s="675"/>
      <c r="K370" s="675"/>
      <c r="L370" s="675"/>
      <c r="M370" s="675"/>
      <c r="N370" s="675"/>
      <c r="O370" s="675"/>
      <c r="P370" s="675"/>
      <c r="Q370" s="675"/>
      <c r="R370" s="675"/>
      <c r="S370" s="675"/>
      <c r="T370" s="675"/>
      <c r="U370" s="8"/>
      <c r="V370" s="8"/>
      <c r="W370" s="8"/>
      <c r="X370" s="8"/>
      <c r="Y370" s="8"/>
      <c r="Z370" s="8"/>
      <c r="AA370" s="8"/>
      <c r="AB370" s="8"/>
      <c r="AC370" s="8"/>
    </row>
    <row r="371" ht="12.75" customHeight="1" spans="1:29" x14ac:dyDescent="0.25">
      <c r="A371" s="8"/>
      <c r="B371" s="8"/>
      <c r="C371" s="8"/>
      <c r="D371" s="8"/>
      <c r="E371" s="8"/>
      <c r="F371" s="8"/>
      <c r="G371" s="8"/>
      <c r="H371" s="675"/>
      <c r="I371" s="675"/>
      <c r="J371" s="675"/>
      <c r="K371" s="675"/>
      <c r="L371" s="675"/>
      <c r="M371" s="675"/>
      <c r="N371" s="675"/>
      <c r="O371" s="675"/>
      <c r="P371" s="675"/>
      <c r="Q371" s="675"/>
      <c r="R371" s="675"/>
      <c r="S371" s="675"/>
      <c r="T371" s="675"/>
      <c r="U371" s="8"/>
      <c r="V371" s="8"/>
      <c r="W371" s="8"/>
      <c r="X371" s="8"/>
      <c r="Y371" s="8"/>
      <c r="Z371" s="8"/>
      <c r="AA371" s="8"/>
      <c r="AB371" s="8"/>
      <c r="AC371" s="8"/>
    </row>
    <row r="372" ht="12.75" customHeight="1" spans="1:29" x14ac:dyDescent="0.25">
      <c r="A372" s="8"/>
      <c r="B372" s="8"/>
      <c r="C372" s="8"/>
      <c r="D372" s="8"/>
      <c r="E372" s="8"/>
      <c r="F372" s="8"/>
      <c r="G372" s="8"/>
      <c r="H372" s="675"/>
      <c r="I372" s="675"/>
      <c r="J372" s="675"/>
      <c r="K372" s="675"/>
      <c r="L372" s="675"/>
      <c r="M372" s="675"/>
      <c r="N372" s="675"/>
      <c r="O372" s="675"/>
      <c r="P372" s="675"/>
      <c r="Q372" s="675"/>
      <c r="R372" s="675"/>
      <c r="S372" s="675"/>
      <c r="T372" s="675"/>
      <c r="U372" s="8"/>
      <c r="V372" s="8"/>
      <c r="W372" s="8"/>
      <c r="X372" s="8"/>
      <c r="Y372" s="8"/>
      <c r="Z372" s="8"/>
      <c r="AA372" s="8"/>
      <c r="AB372" s="8"/>
      <c r="AC372" s="8"/>
    </row>
    <row r="373" ht="12.75" customHeight="1" spans="1:29" x14ac:dyDescent="0.25">
      <c r="A373" s="8"/>
      <c r="B373" s="8"/>
      <c r="C373" s="8"/>
      <c r="D373" s="8"/>
      <c r="E373" s="8"/>
      <c r="F373" s="8"/>
      <c r="G373" s="8"/>
      <c r="H373" s="675"/>
      <c r="I373" s="675"/>
      <c r="J373" s="675"/>
      <c r="K373" s="675"/>
      <c r="L373" s="675"/>
      <c r="M373" s="675"/>
      <c r="N373" s="675"/>
      <c r="O373" s="675"/>
      <c r="P373" s="675"/>
      <c r="Q373" s="675"/>
      <c r="R373" s="675"/>
      <c r="S373" s="675"/>
      <c r="T373" s="675"/>
      <c r="U373" s="8"/>
      <c r="V373" s="8"/>
      <c r="W373" s="8"/>
      <c r="X373" s="8"/>
      <c r="Y373" s="8"/>
      <c r="Z373" s="8"/>
      <c r="AA373" s="8"/>
      <c r="AB373" s="8"/>
      <c r="AC373" s="8"/>
    </row>
    <row r="374" ht="12.75" customHeight="1" spans="1:29" x14ac:dyDescent="0.25">
      <c r="A374" s="8"/>
      <c r="B374" s="8"/>
      <c r="C374" s="8"/>
      <c r="D374" s="8"/>
      <c r="E374" s="8"/>
      <c r="F374" s="8"/>
      <c r="G374" s="8"/>
      <c r="H374" s="675"/>
      <c r="I374" s="675"/>
      <c r="J374" s="675"/>
      <c r="K374" s="675"/>
      <c r="L374" s="675"/>
      <c r="M374" s="675"/>
      <c r="N374" s="675"/>
      <c r="O374" s="675"/>
      <c r="P374" s="675"/>
      <c r="Q374" s="675"/>
      <c r="R374" s="675"/>
      <c r="S374" s="675"/>
      <c r="T374" s="675"/>
      <c r="U374" s="8"/>
      <c r="V374" s="8"/>
      <c r="W374" s="8"/>
      <c r="X374" s="8"/>
      <c r="Y374" s="8"/>
      <c r="Z374" s="8"/>
      <c r="AA374" s="8"/>
      <c r="AB374" s="8"/>
      <c r="AC374" s="8"/>
    </row>
    <row r="375" ht="12.75" customHeight="1" spans="1:29" x14ac:dyDescent="0.25">
      <c r="A375" s="8"/>
      <c r="B375" s="8"/>
      <c r="C375" s="8"/>
      <c r="D375" s="8"/>
      <c r="E375" s="8"/>
      <c r="F375" s="8"/>
      <c r="G375" s="8"/>
      <c r="H375" s="675"/>
      <c r="I375" s="675"/>
      <c r="J375" s="675"/>
      <c r="K375" s="675"/>
      <c r="L375" s="675"/>
      <c r="M375" s="675"/>
      <c r="N375" s="675"/>
      <c r="O375" s="675"/>
      <c r="P375" s="675"/>
      <c r="Q375" s="675"/>
      <c r="R375" s="675"/>
      <c r="S375" s="675"/>
      <c r="T375" s="675"/>
      <c r="U375" s="8"/>
      <c r="V375" s="8"/>
      <c r="W375" s="8"/>
      <c r="X375" s="8"/>
      <c r="Y375" s="8"/>
      <c r="Z375" s="8"/>
      <c r="AA375" s="8"/>
      <c r="AB375" s="8"/>
      <c r="AC375" s="8"/>
    </row>
    <row r="376" ht="12.75" customHeight="1" spans="1:29" x14ac:dyDescent="0.25">
      <c r="A376" s="8"/>
      <c r="B376" s="8"/>
      <c r="C376" s="8"/>
      <c r="D376" s="8"/>
      <c r="E376" s="8"/>
      <c r="F376" s="8"/>
      <c r="G376" s="8"/>
      <c r="H376" s="675"/>
      <c r="I376" s="675"/>
      <c r="J376" s="675"/>
      <c r="K376" s="675"/>
      <c r="L376" s="675"/>
      <c r="M376" s="675"/>
      <c r="N376" s="675"/>
      <c r="O376" s="675"/>
      <c r="P376" s="675"/>
      <c r="Q376" s="675"/>
      <c r="R376" s="675"/>
      <c r="S376" s="675"/>
      <c r="T376" s="675"/>
      <c r="U376" s="8"/>
      <c r="V376" s="8"/>
      <c r="W376" s="8"/>
      <c r="X376" s="8"/>
      <c r="Y376" s="8"/>
      <c r="Z376" s="8"/>
      <c r="AA376" s="8"/>
      <c r="AB376" s="8"/>
      <c r="AC376" s="8"/>
    </row>
    <row r="377" ht="12.75" customHeight="1" spans="1:29" x14ac:dyDescent="0.25">
      <c r="A377" s="8"/>
      <c r="B377" s="8"/>
      <c r="C377" s="8"/>
      <c r="D377" s="8"/>
      <c r="E377" s="8"/>
      <c r="F377" s="8"/>
      <c r="G377" s="8"/>
      <c r="H377" s="675"/>
      <c r="I377" s="675"/>
      <c r="J377" s="675"/>
      <c r="K377" s="675"/>
      <c r="L377" s="675"/>
      <c r="M377" s="675"/>
      <c r="N377" s="675"/>
      <c r="O377" s="675"/>
      <c r="P377" s="675"/>
      <c r="Q377" s="675"/>
      <c r="R377" s="675"/>
      <c r="S377" s="675"/>
      <c r="T377" s="675"/>
      <c r="U377" s="8"/>
      <c r="V377" s="8"/>
      <c r="W377" s="8"/>
      <c r="X377" s="8"/>
      <c r="Y377" s="8"/>
      <c r="Z377" s="8"/>
      <c r="AA377" s="8"/>
      <c r="AB377" s="8"/>
      <c r="AC377" s="8"/>
    </row>
    <row r="378" ht="12.75" customHeight="1" spans="1:29" x14ac:dyDescent="0.25">
      <c r="A378" s="8"/>
      <c r="B378" s="8"/>
      <c r="C378" s="8"/>
      <c r="D378" s="8"/>
      <c r="E378" s="8"/>
      <c r="F378" s="8"/>
      <c r="G378" s="8"/>
      <c r="H378" s="675"/>
      <c r="I378" s="675"/>
      <c r="J378" s="675"/>
      <c r="K378" s="675"/>
      <c r="L378" s="675"/>
      <c r="M378" s="675"/>
      <c r="N378" s="675"/>
      <c r="O378" s="675"/>
      <c r="P378" s="675"/>
      <c r="Q378" s="675"/>
      <c r="R378" s="675"/>
      <c r="S378" s="675"/>
      <c r="T378" s="675"/>
      <c r="U378" s="8"/>
      <c r="V378" s="8"/>
      <c r="W378" s="8"/>
      <c r="X378" s="8"/>
      <c r="Y378" s="8"/>
      <c r="Z378" s="8"/>
      <c r="AA378" s="8"/>
      <c r="AB378" s="8"/>
      <c r="AC378" s="8"/>
    </row>
    <row r="379" ht="12.75" customHeight="1" spans="1:29" x14ac:dyDescent="0.25">
      <c r="A379" s="8"/>
      <c r="B379" s="8"/>
      <c r="C379" s="8"/>
      <c r="D379" s="8"/>
      <c r="E379" s="8"/>
      <c r="F379" s="8"/>
      <c r="G379" s="8"/>
      <c r="H379" s="675"/>
      <c r="I379" s="675"/>
      <c r="J379" s="675"/>
      <c r="K379" s="675"/>
      <c r="L379" s="675"/>
      <c r="M379" s="675"/>
      <c r="N379" s="675"/>
      <c r="O379" s="675"/>
      <c r="P379" s="675"/>
      <c r="Q379" s="675"/>
      <c r="R379" s="675"/>
      <c r="S379" s="675"/>
      <c r="T379" s="675"/>
      <c r="U379" s="8"/>
      <c r="V379" s="8"/>
      <c r="W379" s="8"/>
      <c r="X379" s="8"/>
      <c r="Y379" s="8"/>
      <c r="Z379" s="8"/>
      <c r="AA379" s="8"/>
      <c r="AB379" s="8"/>
      <c r="AC379" s="8"/>
    </row>
    <row r="380" ht="12.75" customHeight="1" spans="1:29" x14ac:dyDescent="0.25">
      <c r="A380" s="8"/>
      <c r="B380" s="8"/>
      <c r="C380" s="8"/>
      <c r="D380" s="8"/>
      <c r="E380" s="8"/>
      <c r="F380" s="8"/>
      <c r="G380" s="8"/>
      <c r="H380" s="675"/>
      <c r="I380" s="675"/>
      <c r="J380" s="675"/>
      <c r="K380" s="675"/>
      <c r="L380" s="675"/>
      <c r="M380" s="675"/>
      <c r="N380" s="675"/>
      <c r="O380" s="675"/>
      <c r="P380" s="675"/>
      <c r="Q380" s="675"/>
      <c r="R380" s="675"/>
      <c r="S380" s="675"/>
      <c r="T380" s="675"/>
      <c r="U380" s="8"/>
      <c r="V380" s="8"/>
      <c r="W380" s="8"/>
      <c r="X380" s="8"/>
      <c r="Y380" s="8"/>
      <c r="Z380" s="8"/>
      <c r="AA380" s="8"/>
      <c r="AB380" s="8"/>
      <c r="AC380" s="8"/>
    </row>
    <row r="381" ht="12.75" customHeight="1" spans="1:29" x14ac:dyDescent="0.25">
      <c r="A381" s="8"/>
      <c r="B381" s="8"/>
      <c r="C381" s="8"/>
      <c r="D381" s="8"/>
      <c r="E381" s="8"/>
      <c r="F381" s="8"/>
      <c r="G381" s="8"/>
      <c r="H381" s="675"/>
      <c r="I381" s="675"/>
      <c r="J381" s="675"/>
      <c r="K381" s="675"/>
      <c r="L381" s="675"/>
      <c r="M381" s="675"/>
      <c r="N381" s="675"/>
      <c r="O381" s="675"/>
      <c r="P381" s="675"/>
      <c r="Q381" s="675"/>
      <c r="R381" s="675"/>
      <c r="S381" s="675"/>
      <c r="T381" s="675"/>
      <c r="U381" s="8"/>
      <c r="V381" s="8"/>
      <c r="W381" s="8"/>
      <c r="X381" s="8"/>
      <c r="Y381" s="8"/>
      <c r="Z381" s="8"/>
      <c r="AA381" s="8"/>
      <c r="AB381" s="8"/>
      <c r="AC381" s="8"/>
    </row>
    <row r="382" ht="12.75" customHeight="1" spans="1:29" x14ac:dyDescent="0.25">
      <c r="A382" s="8"/>
      <c r="B382" s="8"/>
      <c r="C382" s="8"/>
      <c r="D382" s="8"/>
      <c r="E382" s="8"/>
      <c r="F382" s="8"/>
      <c r="G382" s="8"/>
      <c r="H382" s="675"/>
      <c r="I382" s="675"/>
      <c r="J382" s="675"/>
      <c r="K382" s="675"/>
      <c r="L382" s="675"/>
      <c r="M382" s="675"/>
      <c r="N382" s="675"/>
      <c r="O382" s="675"/>
      <c r="P382" s="675"/>
      <c r="Q382" s="675"/>
      <c r="R382" s="675"/>
      <c r="S382" s="675"/>
      <c r="T382" s="675"/>
      <c r="U382" s="8"/>
      <c r="V382" s="8"/>
      <c r="W382" s="8"/>
      <c r="X382" s="8"/>
      <c r="Y382" s="8"/>
      <c r="Z382" s="8"/>
      <c r="AA382" s="8"/>
      <c r="AB382" s="8"/>
      <c r="AC382" s="8"/>
    </row>
    <row r="383" ht="12.75" customHeight="1" spans="1:29" x14ac:dyDescent="0.25">
      <c r="A383" s="8"/>
      <c r="B383" s="8"/>
      <c r="C383" s="8"/>
      <c r="D383" s="8"/>
      <c r="E383" s="8"/>
      <c r="F383" s="8"/>
      <c r="G383" s="8"/>
      <c r="H383" s="675"/>
      <c r="I383" s="675"/>
      <c r="J383" s="675"/>
      <c r="K383" s="675"/>
      <c r="L383" s="675"/>
      <c r="M383" s="675"/>
      <c r="N383" s="675"/>
      <c r="O383" s="675"/>
      <c r="P383" s="675"/>
      <c r="Q383" s="675"/>
      <c r="R383" s="675"/>
      <c r="S383" s="675"/>
      <c r="T383" s="675"/>
      <c r="U383" s="8"/>
      <c r="V383" s="8"/>
      <c r="W383" s="8"/>
      <c r="X383" s="8"/>
      <c r="Y383" s="8"/>
      <c r="Z383" s="8"/>
      <c r="AA383" s="8"/>
      <c r="AB383" s="8"/>
      <c r="AC383" s="8"/>
    </row>
    <row r="384" ht="12.75" customHeight="1" spans="1:29" x14ac:dyDescent="0.25">
      <c r="A384" s="8"/>
      <c r="B384" s="8"/>
      <c r="C384" s="8"/>
      <c r="D384" s="8"/>
      <c r="E384" s="8"/>
      <c r="F384" s="8"/>
      <c r="G384" s="8"/>
      <c r="H384" s="675"/>
      <c r="I384" s="675"/>
      <c r="J384" s="675"/>
      <c r="K384" s="675"/>
      <c r="L384" s="675"/>
      <c r="M384" s="675"/>
      <c r="N384" s="675"/>
      <c r="O384" s="675"/>
      <c r="P384" s="675"/>
      <c r="Q384" s="675"/>
      <c r="R384" s="675"/>
      <c r="S384" s="675"/>
      <c r="T384" s="675"/>
      <c r="U384" s="8"/>
      <c r="V384" s="8"/>
      <c r="W384" s="8"/>
      <c r="X384" s="8"/>
      <c r="Y384" s="8"/>
      <c r="Z384" s="8"/>
      <c r="AA384" s="8"/>
      <c r="AB384" s="8"/>
      <c r="AC384" s="8"/>
    </row>
    <row r="385" ht="12.75" customHeight="1" spans="1:29" x14ac:dyDescent="0.25">
      <c r="A385" s="8"/>
      <c r="B385" s="8"/>
      <c r="C385" s="8"/>
      <c r="D385" s="8"/>
      <c r="E385" s="8"/>
      <c r="F385" s="8"/>
      <c r="G385" s="8"/>
      <c r="H385" s="675"/>
      <c r="I385" s="675"/>
      <c r="J385" s="675"/>
      <c r="K385" s="675"/>
      <c r="L385" s="675"/>
      <c r="M385" s="675"/>
      <c r="N385" s="675"/>
      <c r="O385" s="675"/>
      <c r="P385" s="675"/>
      <c r="Q385" s="675"/>
      <c r="R385" s="675"/>
      <c r="S385" s="675"/>
      <c r="T385" s="675"/>
      <c r="U385" s="8"/>
      <c r="V385" s="8"/>
      <c r="W385" s="8"/>
      <c r="X385" s="8"/>
      <c r="Y385" s="8"/>
      <c r="Z385" s="8"/>
      <c r="AA385" s="8"/>
      <c r="AB385" s="8"/>
      <c r="AC385" s="8"/>
    </row>
    <row r="386" ht="12.75" customHeight="1" spans="1:29" x14ac:dyDescent="0.25">
      <c r="A386" s="8"/>
      <c r="B386" s="8"/>
      <c r="C386" s="8"/>
      <c r="D386" s="8"/>
      <c r="E386" s="8"/>
      <c r="F386" s="8"/>
      <c r="G386" s="8"/>
      <c r="H386" s="675"/>
      <c r="I386" s="675"/>
      <c r="J386" s="675"/>
      <c r="K386" s="675"/>
      <c r="L386" s="675"/>
      <c r="M386" s="675"/>
      <c r="N386" s="675"/>
      <c r="O386" s="675"/>
      <c r="P386" s="675"/>
      <c r="Q386" s="675"/>
      <c r="R386" s="675"/>
      <c r="S386" s="675"/>
      <c r="T386" s="675"/>
      <c r="U386" s="8"/>
      <c r="V386" s="8"/>
      <c r="W386" s="8"/>
      <c r="X386" s="8"/>
      <c r="Y386" s="8"/>
      <c r="Z386" s="8"/>
      <c r="AA386" s="8"/>
      <c r="AB386" s="8"/>
      <c r="AC386" s="8"/>
    </row>
    <row r="387" ht="12.75" customHeight="1" spans="1:29" x14ac:dyDescent="0.25">
      <c r="A387" s="8"/>
      <c r="B387" s="8"/>
      <c r="C387" s="8"/>
      <c r="D387" s="8"/>
      <c r="E387" s="8"/>
      <c r="F387" s="8"/>
      <c r="G387" s="8"/>
      <c r="H387" s="675"/>
      <c r="I387" s="675"/>
      <c r="J387" s="675"/>
      <c r="K387" s="675"/>
      <c r="L387" s="675"/>
      <c r="M387" s="675"/>
      <c r="N387" s="675"/>
      <c r="O387" s="675"/>
      <c r="P387" s="675"/>
      <c r="Q387" s="675"/>
      <c r="R387" s="675"/>
      <c r="S387" s="675"/>
      <c r="T387" s="675"/>
      <c r="U387" s="8"/>
      <c r="V387" s="8"/>
      <c r="W387" s="8"/>
      <c r="X387" s="8"/>
      <c r="Y387" s="8"/>
      <c r="Z387" s="8"/>
      <c r="AA387" s="8"/>
      <c r="AB387" s="8"/>
      <c r="AC387" s="8"/>
    </row>
    <row r="388" ht="12.75" customHeight="1" spans="1:29" x14ac:dyDescent="0.25">
      <c r="A388" s="8"/>
      <c r="B388" s="8"/>
      <c r="C388" s="8"/>
      <c r="D388" s="8"/>
      <c r="E388" s="8"/>
      <c r="F388" s="8"/>
      <c r="G388" s="8"/>
      <c r="H388" s="675"/>
      <c r="I388" s="675"/>
      <c r="J388" s="675"/>
      <c r="K388" s="675"/>
      <c r="L388" s="675"/>
      <c r="M388" s="675"/>
      <c r="N388" s="675"/>
      <c r="O388" s="675"/>
      <c r="P388" s="675"/>
      <c r="Q388" s="675"/>
      <c r="R388" s="675"/>
      <c r="S388" s="675"/>
      <c r="T388" s="675"/>
      <c r="U388" s="8"/>
      <c r="V388" s="8"/>
      <c r="W388" s="8"/>
      <c r="X388" s="8"/>
      <c r="Y388" s="8"/>
      <c r="Z388" s="8"/>
      <c r="AA388" s="8"/>
      <c r="AB388" s="8"/>
      <c r="AC388" s="8"/>
    </row>
    <row r="389" ht="12.75" customHeight="1" spans="1:29" x14ac:dyDescent="0.25">
      <c r="A389" s="8"/>
      <c r="B389" s="8"/>
      <c r="C389" s="8"/>
      <c r="D389" s="8"/>
      <c r="E389" s="8"/>
      <c r="F389" s="8"/>
      <c r="G389" s="8"/>
      <c r="H389" s="675"/>
      <c r="I389" s="675"/>
      <c r="J389" s="675"/>
      <c r="K389" s="675"/>
      <c r="L389" s="675"/>
      <c r="M389" s="675"/>
      <c r="N389" s="675"/>
      <c r="O389" s="675"/>
      <c r="P389" s="675"/>
      <c r="Q389" s="675"/>
      <c r="R389" s="675"/>
      <c r="S389" s="675"/>
      <c r="T389" s="675"/>
      <c r="U389" s="8"/>
      <c r="V389" s="8"/>
      <c r="W389" s="8"/>
      <c r="X389" s="8"/>
      <c r="Y389" s="8"/>
      <c r="Z389" s="8"/>
      <c r="AA389" s="8"/>
      <c r="AB389" s="8"/>
      <c r="AC389" s="8"/>
    </row>
    <row r="390" ht="12.75" customHeight="1" spans="1:29" x14ac:dyDescent="0.25">
      <c r="A390" s="8"/>
      <c r="B390" s="8"/>
      <c r="C390" s="8"/>
      <c r="D390" s="8"/>
      <c r="E390" s="8"/>
      <c r="F390" s="8"/>
      <c r="G390" s="8"/>
      <c r="H390" s="675"/>
      <c r="I390" s="675"/>
      <c r="J390" s="675"/>
      <c r="K390" s="675"/>
      <c r="L390" s="675"/>
      <c r="M390" s="675"/>
      <c r="N390" s="675"/>
      <c r="O390" s="675"/>
      <c r="P390" s="675"/>
      <c r="Q390" s="675"/>
      <c r="R390" s="675"/>
      <c r="S390" s="675"/>
      <c r="T390" s="675"/>
      <c r="U390" s="8"/>
      <c r="V390" s="8"/>
      <c r="W390" s="8"/>
      <c r="X390" s="8"/>
      <c r="Y390" s="8"/>
      <c r="Z390" s="8"/>
      <c r="AA390" s="8"/>
      <c r="AB390" s="8"/>
      <c r="AC390" s="8"/>
    </row>
    <row r="391" ht="12.75" customHeight="1" spans="1:29" x14ac:dyDescent="0.25">
      <c r="A391" s="8"/>
      <c r="B391" s="8"/>
      <c r="C391" s="8"/>
      <c r="D391" s="8"/>
      <c r="E391" s="8"/>
      <c r="F391" s="8"/>
      <c r="G391" s="8"/>
      <c r="H391" s="675"/>
      <c r="I391" s="675"/>
      <c r="J391" s="675"/>
      <c r="K391" s="675"/>
      <c r="L391" s="675"/>
      <c r="M391" s="675"/>
      <c r="N391" s="675"/>
      <c r="O391" s="675"/>
      <c r="P391" s="675"/>
      <c r="Q391" s="675"/>
      <c r="R391" s="675"/>
      <c r="S391" s="675"/>
      <c r="T391" s="675"/>
      <c r="U391" s="8"/>
      <c r="V391" s="8"/>
      <c r="W391" s="8"/>
      <c r="X391" s="8"/>
      <c r="Y391" s="8"/>
      <c r="Z391" s="8"/>
      <c r="AA391" s="8"/>
      <c r="AB391" s="8"/>
      <c r="AC391" s="8"/>
    </row>
    <row r="392" ht="12.75" customHeight="1" spans="1:29" x14ac:dyDescent="0.25">
      <c r="A392" s="8"/>
      <c r="B392" s="8"/>
      <c r="C392" s="8"/>
      <c r="D392" s="8"/>
      <c r="E392" s="8"/>
      <c r="F392" s="8"/>
      <c r="G392" s="8"/>
      <c r="H392" s="675"/>
      <c r="I392" s="675"/>
      <c r="J392" s="675"/>
      <c r="K392" s="675"/>
      <c r="L392" s="675"/>
      <c r="M392" s="675"/>
      <c r="N392" s="675"/>
      <c r="O392" s="675"/>
      <c r="P392" s="675"/>
      <c r="Q392" s="675"/>
      <c r="R392" s="675"/>
      <c r="S392" s="675"/>
      <c r="T392" s="675"/>
      <c r="U392" s="8"/>
      <c r="V392" s="8"/>
      <c r="W392" s="8"/>
      <c r="X392" s="8"/>
      <c r="Y392" s="8"/>
      <c r="Z392" s="8"/>
      <c r="AA392" s="8"/>
      <c r="AB392" s="8"/>
      <c r="AC392" s="8"/>
    </row>
    <row r="393" ht="12.75" customHeight="1" spans="1:29" x14ac:dyDescent="0.25">
      <c r="A393" s="8"/>
      <c r="B393" s="8"/>
      <c r="C393" s="8"/>
      <c r="D393" s="8"/>
      <c r="E393" s="8"/>
      <c r="F393" s="8"/>
      <c r="G393" s="8"/>
      <c r="H393" s="675"/>
      <c r="I393" s="675"/>
      <c r="J393" s="675"/>
      <c r="K393" s="675"/>
      <c r="L393" s="675"/>
      <c r="M393" s="675"/>
      <c r="N393" s="675"/>
      <c r="O393" s="675"/>
      <c r="P393" s="675"/>
      <c r="Q393" s="675"/>
      <c r="R393" s="675"/>
      <c r="S393" s="675"/>
      <c r="T393" s="675"/>
      <c r="U393" s="8"/>
      <c r="V393" s="8"/>
      <c r="W393" s="8"/>
      <c r="X393" s="8"/>
      <c r="Y393" s="8"/>
      <c r="Z393" s="8"/>
      <c r="AA393" s="8"/>
      <c r="AB393" s="8"/>
      <c r="AC393" s="8"/>
    </row>
    <row r="394" ht="12.75" customHeight="1" spans="1:29" x14ac:dyDescent="0.25">
      <c r="A394" s="8"/>
      <c r="B394" s="8"/>
      <c r="C394" s="8"/>
      <c r="D394" s="8"/>
      <c r="E394" s="8"/>
      <c r="F394" s="8"/>
      <c r="G394" s="8"/>
      <c r="H394" s="675"/>
      <c r="I394" s="675"/>
      <c r="J394" s="675"/>
      <c r="K394" s="675"/>
      <c r="L394" s="675"/>
      <c r="M394" s="675"/>
      <c r="N394" s="675"/>
      <c r="O394" s="675"/>
      <c r="P394" s="675"/>
      <c r="Q394" s="675"/>
      <c r="R394" s="675"/>
      <c r="S394" s="675"/>
      <c r="T394" s="675"/>
      <c r="U394" s="8"/>
      <c r="V394" s="8"/>
      <c r="W394" s="8"/>
      <c r="X394" s="8"/>
      <c r="Y394" s="8"/>
      <c r="Z394" s="8"/>
      <c r="AA394" s="8"/>
      <c r="AB394" s="8"/>
      <c r="AC394" s="8"/>
    </row>
    <row r="395" ht="12.75" customHeight="1" spans="1:29" x14ac:dyDescent="0.25">
      <c r="A395" s="8"/>
      <c r="B395" s="8"/>
      <c r="C395" s="8"/>
      <c r="D395" s="8"/>
      <c r="E395" s="8"/>
      <c r="F395" s="8"/>
      <c r="G395" s="8"/>
      <c r="H395" s="675"/>
      <c r="I395" s="675"/>
      <c r="J395" s="675"/>
      <c r="K395" s="675"/>
      <c r="L395" s="675"/>
      <c r="M395" s="675"/>
      <c r="N395" s="675"/>
      <c r="O395" s="675"/>
      <c r="P395" s="675"/>
      <c r="Q395" s="675"/>
      <c r="R395" s="675"/>
      <c r="S395" s="675"/>
      <c r="T395" s="675"/>
      <c r="U395" s="8"/>
      <c r="V395" s="8"/>
      <c r="W395" s="8"/>
      <c r="X395" s="8"/>
      <c r="Y395" s="8"/>
      <c r="Z395" s="8"/>
      <c r="AA395" s="8"/>
      <c r="AB395" s="8"/>
      <c r="AC395" s="8"/>
    </row>
    <row r="396" ht="12.75" customHeight="1" spans="1:29" x14ac:dyDescent="0.25">
      <c r="A396" s="8"/>
      <c r="B396" s="8"/>
      <c r="C396" s="8"/>
      <c r="D396" s="8"/>
      <c r="E396" s="8"/>
      <c r="F396" s="8"/>
      <c r="G396" s="8"/>
      <c r="H396" s="675"/>
      <c r="I396" s="675"/>
      <c r="J396" s="675"/>
      <c r="K396" s="675"/>
      <c r="L396" s="675"/>
      <c r="M396" s="675"/>
      <c r="N396" s="675"/>
      <c r="O396" s="675"/>
      <c r="P396" s="675"/>
      <c r="Q396" s="675"/>
      <c r="R396" s="675"/>
      <c r="S396" s="675"/>
      <c r="T396" s="675"/>
      <c r="U396" s="8"/>
      <c r="V396" s="8"/>
      <c r="W396" s="8"/>
      <c r="X396" s="8"/>
      <c r="Y396" s="8"/>
      <c r="Z396" s="8"/>
      <c r="AA396" s="8"/>
      <c r="AB396" s="8"/>
      <c r="AC396" s="8"/>
    </row>
    <row r="397" ht="12.75" customHeight="1" spans="1:29" x14ac:dyDescent="0.25">
      <c r="A397" s="8"/>
      <c r="B397" s="8"/>
      <c r="C397" s="8"/>
      <c r="D397" s="8"/>
      <c r="E397" s="8"/>
      <c r="F397" s="8"/>
      <c r="G397" s="8"/>
      <c r="H397" s="675"/>
      <c r="I397" s="675"/>
      <c r="J397" s="675"/>
      <c r="K397" s="675"/>
      <c r="L397" s="675"/>
      <c r="M397" s="675"/>
      <c r="N397" s="675"/>
      <c r="O397" s="675"/>
      <c r="P397" s="675"/>
      <c r="Q397" s="675"/>
      <c r="R397" s="675"/>
      <c r="S397" s="675"/>
      <c r="T397" s="675"/>
      <c r="U397" s="8"/>
      <c r="V397" s="8"/>
      <c r="W397" s="8"/>
      <c r="X397" s="8"/>
      <c r="Y397" s="8"/>
      <c r="Z397" s="8"/>
      <c r="AA397" s="8"/>
      <c r="AB397" s="8"/>
      <c r="AC397" s="8"/>
    </row>
    <row r="398" ht="12.75" customHeight="1" spans="1:29" x14ac:dyDescent="0.25">
      <c r="A398" s="8"/>
      <c r="B398" s="8"/>
      <c r="C398" s="8"/>
      <c r="D398" s="8"/>
      <c r="E398" s="8"/>
      <c r="F398" s="8"/>
      <c r="G398" s="8"/>
      <c r="H398" s="675"/>
      <c r="I398" s="675"/>
      <c r="J398" s="675"/>
      <c r="K398" s="675"/>
      <c r="L398" s="675"/>
      <c r="M398" s="675"/>
      <c r="N398" s="675"/>
      <c r="O398" s="675"/>
      <c r="P398" s="675"/>
      <c r="Q398" s="675"/>
      <c r="R398" s="675"/>
      <c r="S398" s="675"/>
      <c r="T398" s="675"/>
      <c r="U398" s="8"/>
      <c r="V398" s="8"/>
      <c r="W398" s="8"/>
      <c r="X398" s="8"/>
      <c r="Y398" s="8"/>
      <c r="Z398" s="8"/>
      <c r="AA398" s="8"/>
      <c r="AB398" s="8"/>
      <c r="AC398" s="8"/>
    </row>
    <row r="399" ht="12.75" customHeight="1" spans="1:29" x14ac:dyDescent="0.25">
      <c r="A399" s="8"/>
      <c r="B399" s="8"/>
      <c r="C399" s="8"/>
      <c r="D399" s="8"/>
      <c r="E399" s="8"/>
      <c r="F399" s="8"/>
      <c r="G399" s="8"/>
      <c r="H399" s="675"/>
      <c r="I399" s="675"/>
      <c r="J399" s="675"/>
      <c r="K399" s="675"/>
      <c r="L399" s="675"/>
      <c r="M399" s="675"/>
      <c r="N399" s="675"/>
      <c r="O399" s="675"/>
      <c r="P399" s="675"/>
      <c r="Q399" s="675"/>
      <c r="R399" s="675"/>
      <c r="S399" s="675"/>
      <c r="T399" s="675"/>
      <c r="U399" s="8"/>
      <c r="V399" s="8"/>
      <c r="W399" s="8"/>
      <c r="X399" s="8"/>
      <c r="Y399" s="8"/>
      <c r="Z399" s="8"/>
      <c r="AA399" s="8"/>
      <c r="AB399" s="8"/>
      <c r="AC399" s="8"/>
    </row>
    <row r="400" ht="12.75" customHeight="1" spans="1:29" x14ac:dyDescent="0.25">
      <c r="A400" s="8"/>
      <c r="B400" s="8"/>
      <c r="C400" s="8"/>
      <c r="D400" s="8"/>
      <c r="E400" s="8"/>
      <c r="F400" s="8"/>
      <c r="G400" s="8"/>
      <c r="H400" s="675"/>
      <c r="I400" s="675"/>
      <c r="J400" s="675"/>
      <c r="K400" s="675"/>
      <c r="L400" s="675"/>
      <c r="M400" s="675"/>
      <c r="N400" s="675"/>
      <c r="O400" s="675"/>
      <c r="P400" s="675"/>
      <c r="Q400" s="675"/>
      <c r="R400" s="675"/>
      <c r="S400" s="675"/>
      <c r="T400" s="675"/>
      <c r="U400" s="8"/>
      <c r="V400" s="8"/>
      <c r="W400" s="8"/>
      <c r="X400" s="8"/>
      <c r="Y400" s="8"/>
      <c r="Z400" s="8"/>
      <c r="AA400" s="8"/>
      <c r="AB400" s="8"/>
      <c r="AC400" s="8"/>
    </row>
    <row r="401" ht="12.75" customHeight="1" spans="1:29" x14ac:dyDescent="0.25">
      <c r="A401" s="8"/>
      <c r="B401" s="8"/>
      <c r="C401" s="8"/>
      <c r="D401" s="8"/>
      <c r="E401" s="8"/>
      <c r="F401" s="8"/>
      <c r="G401" s="8"/>
      <c r="H401" s="675"/>
      <c r="I401" s="675"/>
      <c r="J401" s="675"/>
      <c r="K401" s="675"/>
      <c r="L401" s="675"/>
      <c r="M401" s="675"/>
      <c r="N401" s="675"/>
      <c r="O401" s="675"/>
      <c r="P401" s="675"/>
      <c r="Q401" s="675"/>
      <c r="R401" s="675"/>
      <c r="S401" s="675"/>
      <c r="T401" s="675"/>
      <c r="U401" s="8"/>
      <c r="V401" s="8"/>
      <c r="W401" s="8"/>
      <c r="X401" s="8"/>
      <c r="Y401" s="8"/>
      <c r="Z401" s="8"/>
      <c r="AA401" s="8"/>
      <c r="AB401" s="8"/>
      <c r="AC401" s="8"/>
    </row>
    <row r="402" ht="12.75" customHeight="1" spans="1:29" x14ac:dyDescent="0.25">
      <c r="A402" s="8"/>
      <c r="B402" s="8"/>
      <c r="C402" s="8"/>
      <c r="D402" s="8"/>
      <c r="E402" s="8"/>
      <c r="F402" s="8"/>
      <c r="G402" s="8"/>
      <c r="H402" s="675"/>
      <c r="I402" s="675"/>
      <c r="J402" s="675"/>
      <c r="K402" s="675"/>
      <c r="L402" s="675"/>
      <c r="M402" s="675"/>
      <c r="N402" s="675"/>
      <c r="O402" s="675"/>
      <c r="P402" s="675"/>
      <c r="Q402" s="675"/>
      <c r="R402" s="675"/>
      <c r="S402" s="675"/>
      <c r="T402" s="675"/>
      <c r="U402" s="8"/>
      <c r="V402" s="8"/>
      <c r="W402" s="8"/>
      <c r="X402" s="8"/>
      <c r="Y402" s="8"/>
      <c r="Z402" s="8"/>
      <c r="AA402" s="8"/>
      <c r="AB402" s="8"/>
      <c r="AC402" s="8"/>
    </row>
    <row r="403" ht="12.75" customHeight="1" spans="1:29" x14ac:dyDescent="0.25">
      <c r="A403" s="8"/>
      <c r="B403" s="8"/>
      <c r="C403" s="8"/>
      <c r="D403" s="8"/>
      <c r="E403" s="8"/>
      <c r="F403" s="8"/>
      <c r="G403" s="8"/>
      <c r="H403" s="675"/>
      <c r="I403" s="675"/>
      <c r="J403" s="675"/>
      <c r="K403" s="675"/>
      <c r="L403" s="675"/>
      <c r="M403" s="675"/>
      <c r="N403" s="675"/>
      <c r="O403" s="675"/>
      <c r="P403" s="675"/>
      <c r="Q403" s="675"/>
      <c r="R403" s="675"/>
      <c r="S403" s="675"/>
      <c r="T403" s="675"/>
      <c r="U403" s="8"/>
      <c r="V403" s="8"/>
      <c r="W403" s="8"/>
      <c r="X403" s="8"/>
      <c r="Y403" s="8"/>
      <c r="Z403" s="8"/>
      <c r="AA403" s="8"/>
      <c r="AB403" s="8"/>
      <c r="AC403" s="8"/>
    </row>
    <row r="404" ht="12.75" customHeight="1" spans="1:29" x14ac:dyDescent="0.25">
      <c r="A404" s="8"/>
      <c r="B404" s="8"/>
      <c r="C404" s="8"/>
      <c r="D404" s="8"/>
      <c r="E404" s="8"/>
      <c r="F404" s="8"/>
      <c r="G404" s="8"/>
      <c r="H404" s="675"/>
      <c r="I404" s="675"/>
      <c r="J404" s="675"/>
      <c r="K404" s="675"/>
      <c r="L404" s="675"/>
      <c r="M404" s="675"/>
      <c r="N404" s="675"/>
      <c r="O404" s="675"/>
      <c r="P404" s="675"/>
      <c r="Q404" s="675"/>
      <c r="R404" s="675"/>
      <c r="S404" s="675"/>
      <c r="T404" s="675"/>
      <c r="U404" s="8"/>
      <c r="V404" s="8"/>
      <c r="W404" s="8"/>
      <c r="X404" s="8"/>
      <c r="Y404" s="8"/>
      <c r="Z404" s="8"/>
      <c r="AA404" s="8"/>
      <c r="AB404" s="8"/>
      <c r="AC404" s="8"/>
    </row>
    <row r="405" ht="12.75" customHeight="1" spans="1:29" x14ac:dyDescent="0.25">
      <c r="A405" s="8"/>
      <c r="B405" s="8"/>
      <c r="C405" s="8"/>
      <c r="D405" s="8"/>
      <c r="E405" s="8"/>
      <c r="F405" s="8"/>
      <c r="G405" s="8"/>
      <c r="H405" s="675"/>
      <c r="I405" s="675"/>
      <c r="J405" s="675"/>
      <c r="K405" s="675"/>
      <c r="L405" s="675"/>
      <c r="M405" s="675"/>
      <c r="N405" s="675"/>
      <c r="O405" s="675"/>
      <c r="P405" s="675"/>
      <c r="Q405" s="675"/>
      <c r="R405" s="675"/>
      <c r="S405" s="675"/>
      <c r="T405" s="675"/>
      <c r="U405" s="8"/>
      <c r="V405" s="8"/>
      <c r="W405" s="8"/>
      <c r="X405" s="8"/>
      <c r="Y405" s="8"/>
      <c r="Z405" s="8"/>
      <c r="AA405" s="8"/>
      <c r="AB405" s="8"/>
      <c r="AC405" s="8"/>
    </row>
    <row r="406" ht="12.75" customHeight="1" spans="1:29" x14ac:dyDescent="0.25">
      <c r="A406" s="8"/>
      <c r="B406" s="8"/>
      <c r="C406" s="8"/>
      <c r="D406" s="8"/>
      <c r="E406" s="8"/>
      <c r="F406" s="8"/>
      <c r="G406" s="8"/>
      <c r="H406" s="675"/>
      <c r="I406" s="675"/>
      <c r="J406" s="675"/>
      <c r="K406" s="675"/>
      <c r="L406" s="675"/>
      <c r="M406" s="675"/>
      <c r="N406" s="675"/>
      <c r="O406" s="675"/>
      <c r="P406" s="675"/>
      <c r="Q406" s="675"/>
      <c r="R406" s="675"/>
      <c r="S406" s="675"/>
      <c r="T406" s="675"/>
      <c r="U406" s="8"/>
      <c r="V406" s="8"/>
      <c r="W406" s="8"/>
      <c r="X406" s="8"/>
      <c r="Y406" s="8"/>
      <c r="Z406" s="8"/>
      <c r="AA406" s="8"/>
      <c r="AB406" s="8"/>
      <c r="AC406" s="8"/>
    </row>
    <row r="407" ht="12.75" customHeight="1" spans="1:29" x14ac:dyDescent="0.25">
      <c r="A407" s="8"/>
      <c r="B407" s="8"/>
      <c r="C407" s="8"/>
      <c r="D407" s="8"/>
      <c r="E407" s="8"/>
      <c r="F407" s="8"/>
      <c r="G407" s="8"/>
      <c r="H407" s="675"/>
      <c r="I407" s="675"/>
      <c r="J407" s="675"/>
      <c r="K407" s="675"/>
      <c r="L407" s="675"/>
      <c r="M407" s="675"/>
      <c r="N407" s="675"/>
      <c r="O407" s="675"/>
      <c r="P407" s="675"/>
      <c r="Q407" s="675"/>
      <c r="R407" s="675"/>
      <c r="S407" s="675"/>
      <c r="T407" s="675"/>
      <c r="U407" s="8"/>
      <c r="V407" s="8"/>
      <c r="W407" s="8"/>
      <c r="X407" s="8"/>
      <c r="Y407" s="8"/>
      <c r="Z407" s="8"/>
      <c r="AA407" s="8"/>
      <c r="AB407" s="8"/>
      <c r="AC407" s="8"/>
    </row>
    <row r="408" ht="12.75" customHeight="1" spans="1:29" x14ac:dyDescent="0.25">
      <c r="A408" s="8"/>
      <c r="B408" s="8"/>
      <c r="C408" s="8"/>
      <c r="D408" s="8"/>
      <c r="E408" s="8"/>
      <c r="F408" s="8"/>
      <c r="G408" s="8"/>
      <c r="H408" s="675"/>
      <c r="I408" s="675"/>
      <c r="J408" s="675"/>
      <c r="K408" s="675"/>
      <c r="L408" s="675"/>
      <c r="M408" s="675"/>
      <c r="N408" s="675"/>
      <c r="O408" s="675"/>
      <c r="P408" s="675"/>
      <c r="Q408" s="675"/>
      <c r="R408" s="675"/>
      <c r="S408" s="675"/>
      <c r="T408" s="675"/>
      <c r="U408" s="8"/>
      <c r="V408" s="8"/>
      <c r="W408" s="8"/>
      <c r="X408" s="8"/>
      <c r="Y408" s="8"/>
      <c r="Z408" s="8"/>
      <c r="AA408" s="8"/>
      <c r="AB408" s="8"/>
      <c r="AC408" s="8"/>
    </row>
    <row r="409" ht="12.75" customHeight="1" spans="1:29" x14ac:dyDescent="0.25">
      <c r="A409" s="8"/>
      <c r="B409" s="8"/>
      <c r="C409" s="8"/>
      <c r="D409" s="8"/>
      <c r="E409" s="8"/>
      <c r="F409" s="8"/>
      <c r="G409" s="8"/>
      <c r="H409" s="675"/>
      <c r="I409" s="675"/>
      <c r="J409" s="675"/>
      <c r="K409" s="675"/>
      <c r="L409" s="675"/>
      <c r="M409" s="675"/>
      <c r="N409" s="675"/>
      <c r="O409" s="675"/>
      <c r="P409" s="675"/>
      <c r="Q409" s="675"/>
      <c r="R409" s="675"/>
      <c r="S409" s="675"/>
      <c r="T409" s="675"/>
      <c r="U409" s="8"/>
      <c r="V409" s="8"/>
      <c r="W409" s="8"/>
      <c r="X409" s="8"/>
      <c r="Y409" s="8"/>
      <c r="Z409" s="8"/>
      <c r="AA409" s="8"/>
      <c r="AB409" s="8"/>
      <c r="AC409" s="8"/>
    </row>
    <row r="410" ht="12.75" customHeight="1" spans="1:29" x14ac:dyDescent="0.25">
      <c r="A410" s="8"/>
      <c r="B410" s="8"/>
      <c r="C410" s="8"/>
      <c r="D410" s="8"/>
      <c r="E410" s="8"/>
      <c r="F410" s="8"/>
      <c r="G410" s="8"/>
      <c r="H410" s="675"/>
      <c r="I410" s="675"/>
      <c r="J410" s="675"/>
      <c r="K410" s="675"/>
      <c r="L410" s="675"/>
      <c r="M410" s="675"/>
      <c r="N410" s="675"/>
      <c r="O410" s="675"/>
      <c r="P410" s="675"/>
      <c r="Q410" s="675"/>
      <c r="R410" s="675"/>
      <c r="S410" s="675"/>
      <c r="T410" s="675"/>
      <c r="U410" s="8"/>
      <c r="V410" s="8"/>
      <c r="W410" s="8"/>
      <c r="X410" s="8"/>
      <c r="Y410" s="8"/>
      <c r="Z410" s="8"/>
      <c r="AA410" s="8"/>
      <c r="AB410" s="8"/>
      <c r="AC410" s="8"/>
    </row>
    <row r="411" ht="12.75" customHeight="1" spans="1:29" x14ac:dyDescent="0.25">
      <c r="A411" s="8"/>
      <c r="B411" s="8"/>
      <c r="C411" s="8"/>
      <c r="D411" s="8"/>
      <c r="E411" s="8"/>
      <c r="F411" s="8"/>
      <c r="G411" s="8"/>
      <c r="H411" s="675"/>
      <c r="I411" s="675"/>
      <c r="J411" s="675"/>
      <c r="K411" s="675"/>
      <c r="L411" s="675"/>
      <c r="M411" s="675"/>
      <c r="N411" s="675"/>
      <c r="O411" s="675"/>
      <c r="P411" s="675"/>
      <c r="Q411" s="675"/>
      <c r="R411" s="675"/>
      <c r="S411" s="675"/>
      <c r="T411" s="675"/>
      <c r="U411" s="8"/>
      <c r="V411" s="8"/>
      <c r="W411" s="8"/>
      <c r="X411" s="8"/>
      <c r="Y411" s="8"/>
      <c r="Z411" s="8"/>
      <c r="AA411" s="8"/>
      <c r="AB411" s="8"/>
      <c r="AC411" s="8"/>
    </row>
    <row r="412" ht="12.75" customHeight="1" spans="1:29" x14ac:dyDescent="0.25">
      <c r="A412" s="8"/>
      <c r="B412" s="8"/>
      <c r="C412" s="8"/>
      <c r="D412" s="8"/>
      <c r="E412" s="8"/>
      <c r="F412" s="8"/>
      <c r="G412" s="8"/>
      <c r="H412" s="675"/>
      <c r="I412" s="675"/>
      <c r="J412" s="675"/>
      <c r="K412" s="675"/>
      <c r="L412" s="675"/>
      <c r="M412" s="675"/>
      <c r="N412" s="675"/>
      <c r="O412" s="675"/>
      <c r="P412" s="675"/>
      <c r="Q412" s="675"/>
      <c r="R412" s="675"/>
      <c r="S412" s="675"/>
      <c r="T412" s="675"/>
      <c r="U412" s="8"/>
      <c r="V412" s="8"/>
      <c r="W412" s="8"/>
      <c r="X412" s="8"/>
      <c r="Y412" s="8"/>
      <c r="Z412" s="8"/>
      <c r="AA412" s="8"/>
      <c r="AB412" s="8"/>
      <c r="AC412" s="8"/>
    </row>
    <row r="413" ht="12.75" customHeight="1" spans="1:29" x14ac:dyDescent="0.25">
      <c r="A413" s="8"/>
      <c r="B413" s="8"/>
      <c r="C413" s="8"/>
      <c r="D413" s="8"/>
      <c r="E413" s="8"/>
      <c r="F413" s="8"/>
      <c r="G413" s="8"/>
      <c r="H413" s="675"/>
      <c r="I413" s="675"/>
      <c r="J413" s="675"/>
      <c r="K413" s="675"/>
      <c r="L413" s="675"/>
      <c r="M413" s="675"/>
      <c r="N413" s="675"/>
      <c r="O413" s="675"/>
      <c r="P413" s="675"/>
      <c r="Q413" s="675"/>
      <c r="R413" s="675"/>
      <c r="S413" s="675"/>
      <c r="T413" s="675"/>
      <c r="U413" s="8"/>
      <c r="V413" s="8"/>
      <c r="W413" s="8"/>
      <c r="X413" s="8"/>
      <c r="Y413" s="8"/>
      <c r="Z413" s="8"/>
      <c r="AA413" s="8"/>
      <c r="AB413" s="8"/>
      <c r="AC413" s="8"/>
    </row>
    <row r="414" ht="12.75" customHeight="1" spans="1:29" x14ac:dyDescent="0.25">
      <c r="A414" s="8"/>
      <c r="B414" s="8"/>
      <c r="C414" s="8"/>
      <c r="D414" s="8"/>
      <c r="E414" s="8"/>
      <c r="F414" s="8"/>
      <c r="G414" s="8"/>
      <c r="H414" s="675"/>
      <c r="I414" s="675"/>
      <c r="J414" s="675"/>
      <c r="K414" s="675"/>
      <c r="L414" s="675"/>
      <c r="M414" s="675"/>
      <c r="N414" s="675"/>
      <c r="O414" s="675"/>
      <c r="P414" s="675"/>
      <c r="Q414" s="675"/>
      <c r="R414" s="675"/>
      <c r="S414" s="675"/>
      <c r="T414" s="675"/>
      <c r="U414" s="8"/>
      <c r="V414" s="8"/>
      <c r="W414" s="8"/>
      <c r="X414" s="8"/>
      <c r="Y414" s="8"/>
      <c r="Z414" s="8"/>
      <c r="AA414" s="8"/>
      <c r="AB414" s="8"/>
      <c r="AC414" s="8"/>
    </row>
    <row r="415" ht="12.75" customHeight="1" spans="1:29" x14ac:dyDescent="0.25">
      <c r="A415" s="8"/>
      <c r="B415" s="8"/>
      <c r="C415" s="8"/>
      <c r="D415" s="8"/>
      <c r="E415" s="8"/>
      <c r="F415" s="8"/>
      <c r="G415" s="8"/>
      <c r="H415" s="675"/>
      <c r="I415" s="675"/>
      <c r="J415" s="675"/>
      <c r="K415" s="675"/>
      <c r="L415" s="675"/>
      <c r="M415" s="675"/>
      <c r="N415" s="675"/>
      <c r="O415" s="675"/>
      <c r="P415" s="675"/>
      <c r="Q415" s="675"/>
      <c r="R415" s="675"/>
      <c r="S415" s="675"/>
      <c r="T415" s="675"/>
      <c r="U415" s="8"/>
      <c r="V415" s="8"/>
      <c r="W415" s="8"/>
      <c r="X415" s="8"/>
      <c r="Y415" s="8"/>
      <c r="Z415" s="8"/>
      <c r="AA415" s="8"/>
      <c r="AB415" s="8"/>
      <c r="AC415" s="8"/>
    </row>
    <row r="416" ht="12.75" customHeight="1" spans="1:29" x14ac:dyDescent="0.25">
      <c r="A416" s="8"/>
      <c r="B416" s="8"/>
      <c r="C416" s="8"/>
      <c r="D416" s="8"/>
      <c r="E416" s="8"/>
      <c r="F416" s="8"/>
      <c r="G416" s="8"/>
      <c r="H416" s="675"/>
      <c r="I416" s="675"/>
      <c r="J416" s="675"/>
      <c r="K416" s="675"/>
      <c r="L416" s="675"/>
      <c r="M416" s="675"/>
      <c r="N416" s="675"/>
      <c r="O416" s="675"/>
      <c r="P416" s="675"/>
      <c r="Q416" s="675"/>
      <c r="R416" s="675"/>
      <c r="S416" s="675"/>
      <c r="T416" s="675"/>
      <c r="U416" s="8"/>
      <c r="V416" s="8"/>
      <c r="W416" s="8"/>
      <c r="X416" s="8"/>
      <c r="Y416" s="8"/>
      <c r="Z416" s="8"/>
      <c r="AA416" s="8"/>
      <c r="AB416" s="8"/>
      <c r="AC416" s="8"/>
    </row>
    <row r="417" ht="12.75" customHeight="1" spans="1:29" x14ac:dyDescent="0.25">
      <c r="A417" s="8"/>
      <c r="B417" s="8"/>
      <c r="C417" s="8"/>
      <c r="D417" s="8"/>
      <c r="E417" s="8"/>
      <c r="F417" s="8"/>
      <c r="G417" s="8"/>
      <c r="H417" s="675"/>
      <c r="I417" s="675"/>
      <c r="J417" s="675"/>
      <c r="K417" s="675"/>
      <c r="L417" s="675"/>
      <c r="M417" s="675"/>
      <c r="N417" s="675"/>
      <c r="O417" s="675"/>
      <c r="P417" s="675"/>
      <c r="Q417" s="675"/>
      <c r="R417" s="675"/>
      <c r="S417" s="675"/>
      <c r="T417" s="675"/>
      <c r="U417" s="8"/>
      <c r="V417" s="8"/>
      <c r="W417" s="8"/>
      <c r="X417" s="8"/>
      <c r="Y417" s="8"/>
      <c r="Z417" s="8"/>
      <c r="AA417" s="8"/>
      <c r="AB417" s="8"/>
      <c r="AC417" s="8"/>
    </row>
    <row r="418" ht="12.75" customHeight="1" spans="1:29" x14ac:dyDescent="0.25">
      <c r="A418" s="8"/>
      <c r="B418" s="8"/>
      <c r="C418" s="8"/>
      <c r="D418" s="8"/>
      <c r="E418" s="8"/>
      <c r="F418" s="8"/>
      <c r="G418" s="8"/>
      <c r="H418" s="675"/>
      <c r="I418" s="675"/>
      <c r="J418" s="675"/>
      <c r="K418" s="675"/>
      <c r="L418" s="675"/>
      <c r="M418" s="675"/>
      <c r="N418" s="675"/>
      <c r="O418" s="675"/>
      <c r="P418" s="675"/>
      <c r="Q418" s="675"/>
      <c r="R418" s="675"/>
      <c r="S418" s="675"/>
      <c r="T418" s="675"/>
      <c r="U418" s="8"/>
      <c r="V418" s="8"/>
      <c r="W418" s="8"/>
      <c r="X418" s="8"/>
      <c r="Y418" s="8"/>
      <c r="Z418" s="8"/>
      <c r="AA418" s="8"/>
      <c r="AB418" s="8"/>
      <c r="AC418" s="8"/>
    </row>
    <row r="419" ht="12.75" customHeight="1" spans="1:29" x14ac:dyDescent="0.25">
      <c r="A419" s="8"/>
      <c r="B419" s="8"/>
      <c r="C419" s="8"/>
      <c r="D419" s="8"/>
      <c r="E419" s="8"/>
      <c r="F419" s="8"/>
      <c r="G419" s="8"/>
      <c r="H419" s="675"/>
      <c r="I419" s="675"/>
      <c r="J419" s="675"/>
      <c r="K419" s="675"/>
      <c r="L419" s="675"/>
      <c r="M419" s="675"/>
      <c r="N419" s="675"/>
      <c r="O419" s="675"/>
      <c r="P419" s="675"/>
      <c r="Q419" s="675"/>
      <c r="R419" s="675"/>
      <c r="S419" s="675"/>
      <c r="T419" s="675"/>
      <c r="U419" s="8"/>
      <c r="V419" s="8"/>
      <c r="W419" s="8"/>
      <c r="X419" s="8"/>
      <c r="Y419" s="8"/>
      <c r="Z419" s="8"/>
      <c r="AA419" s="8"/>
      <c r="AB419" s="8"/>
      <c r="AC419" s="8"/>
    </row>
    <row r="420" ht="12.75" customHeight="1" spans="1:29" x14ac:dyDescent="0.25">
      <c r="A420" s="8"/>
      <c r="B420" s="8"/>
      <c r="C420" s="8"/>
      <c r="D420" s="8"/>
      <c r="E420" s="8"/>
      <c r="F420" s="8"/>
      <c r="G420" s="8"/>
      <c r="H420" s="675"/>
      <c r="I420" s="675"/>
      <c r="J420" s="675"/>
      <c r="K420" s="675"/>
      <c r="L420" s="675"/>
      <c r="M420" s="675"/>
      <c r="N420" s="675"/>
      <c r="O420" s="675"/>
      <c r="P420" s="675"/>
      <c r="Q420" s="675"/>
      <c r="R420" s="675"/>
      <c r="S420" s="675"/>
      <c r="T420" s="675"/>
      <c r="U420" s="8"/>
      <c r="V420" s="8"/>
      <c r="W420" s="8"/>
      <c r="X420" s="8"/>
      <c r="Y420" s="8"/>
      <c r="Z420" s="8"/>
      <c r="AA420" s="8"/>
      <c r="AB420" s="8"/>
      <c r="AC420" s="8"/>
    </row>
    <row r="421" ht="12.75" customHeight="1" spans="1:29" x14ac:dyDescent="0.25">
      <c r="A421" s="8"/>
      <c r="B421" s="8"/>
      <c r="C421" s="8"/>
      <c r="D421" s="8"/>
      <c r="E421" s="8"/>
      <c r="F421" s="8"/>
      <c r="G421" s="8"/>
      <c r="H421" s="675"/>
      <c r="I421" s="675"/>
      <c r="J421" s="675"/>
      <c r="K421" s="675"/>
      <c r="L421" s="675"/>
      <c r="M421" s="675"/>
      <c r="N421" s="675"/>
      <c r="O421" s="675"/>
      <c r="P421" s="675"/>
      <c r="Q421" s="675"/>
      <c r="R421" s="675"/>
      <c r="S421" s="675"/>
      <c r="T421" s="675"/>
      <c r="U421" s="8"/>
      <c r="V421" s="8"/>
      <c r="W421" s="8"/>
      <c r="X421" s="8"/>
      <c r="Y421" s="8"/>
      <c r="Z421" s="8"/>
      <c r="AA421" s="8"/>
      <c r="AB421" s="8"/>
      <c r="AC421" s="8"/>
    </row>
    <row r="422" ht="12.75" customHeight="1" spans="1:29" x14ac:dyDescent="0.25">
      <c r="A422" s="8"/>
      <c r="B422" s="8"/>
      <c r="C422" s="8"/>
      <c r="D422" s="8"/>
      <c r="E422" s="8"/>
      <c r="F422" s="8"/>
      <c r="G422" s="8"/>
      <c r="H422" s="675"/>
      <c r="I422" s="675"/>
      <c r="J422" s="675"/>
      <c r="K422" s="675"/>
      <c r="L422" s="675"/>
      <c r="M422" s="675"/>
      <c r="N422" s="675"/>
      <c r="O422" s="675"/>
      <c r="P422" s="675"/>
      <c r="Q422" s="675"/>
      <c r="R422" s="675"/>
      <c r="S422" s="675"/>
      <c r="T422" s="675"/>
      <c r="U422" s="8"/>
      <c r="V422" s="8"/>
      <c r="W422" s="8"/>
      <c r="X422" s="8"/>
      <c r="Y422" s="8"/>
      <c r="Z422" s="8"/>
      <c r="AA422" s="8"/>
      <c r="AB422" s="8"/>
      <c r="AC422" s="8"/>
    </row>
    <row r="423" ht="12.75" customHeight="1" spans="1:29" x14ac:dyDescent="0.25">
      <c r="A423" s="8"/>
      <c r="B423" s="8"/>
      <c r="C423" s="8"/>
      <c r="D423" s="8"/>
      <c r="E423" s="8"/>
      <c r="F423" s="8"/>
      <c r="G423" s="8"/>
      <c r="H423" s="675"/>
      <c r="I423" s="675"/>
      <c r="J423" s="675"/>
      <c r="K423" s="675"/>
      <c r="L423" s="675"/>
      <c r="M423" s="675"/>
      <c r="N423" s="675"/>
      <c r="O423" s="675"/>
      <c r="P423" s="675"/>
      <c r="Q423" s="675"/>
      <c r="R423" s="675"/>
      <c r="S423" s="675"/>
      <c r="T423" s="675"/>
      <c r="U423" s="8"/>
      <c r="V423" s="8"/>
      <c r="W423" s="8"/>
      <c r="X423" s="8"/>
      <c r="Y423" s="8"/>
      <c r="Z423" s="8"/>
      <c r="AA423" s="8"/>
      <c r="AB423" s="8"/>
      <c r="AC423" s="8"/>
    </row>
    <row r="424" ht="12.75" customHeight="1" spans="1:29" x14ac:dyDescent="0.25">
      <c r="A424" s="8"/>
      <c r="B424" s="8"/>
      <c r="C424" s="8"/>
      <c r="D424" s="8"/>
      <c r="E424" s="8"/>
      <c r="F424" s="8"/>
      <c r="G424" s="8"/>
      <c r="H424" s="675"/>
      <c r="I424" s="675"/>
      <c r="J424" s="675"/>
      <c r="K424" s="675"/>
      <c r="L424" s="675"/>
      <c r="M424" s="675"/>
      <c r="N424" s="675"/>
      <c r="O424" s="675"/>
      <c r="P424" s="675"/>
      <c r="Q424" s="675"/>
      <c r="R424" s="675"/>
      <c r="S424" s="675"/>
      <c r="T424" s="675"/>
      <c r="U424" s="8"/>
      <c r="V424" s="8"/>
      <c r="W424" s="8"/>
      <c r="X424" s="8"/>
      <c r="Y424" s="8"/>
      <c r="Z424" s="8"/>
      <c r="AA424" s="8"/>
      <c r="AB424" s="8"/>
      <c r="AC424" s="8"/>
    </row>
    <row r="425" ht="12.75" customHeight="1" spans="1:29" x14ac:dyDescent="0.25">
      <c r="A425" s="8"/>
      <c r="B425" s="8"/>
      <c r="C425" s="8"/>
      <c r="D425" s="8"/>
      <c r="E425" s="8"/>
      <c r="F425" s="8"/>
      <c r="G425" s="8"/>
      <c r="H425" s="675"/>
      <c r="I425" s="675"/>
      <c r="J425" s="675"/>
      <c r="K425" s="675"/>
      <c r="L425" s="675"/>
      <c r="M425" s="675"/>
      <c r="N425" s="675"/>
      <c r="O425" s="675"/>
      <c r="P425" s="675"/>
      <c r="Q425" s="675"/>
      <c r="R425" s="675"/>
      <c r="S425" s="675"/>
      <c r="T425" s="675"/>
      <c r="U425" s="8"/>
      <c r="V425" s="8"/>
      <c r="W425" s="8"/>
      <c r="X425" s="8"/>
      <c r="Y425" s="8"/>
      <c r="Z425" s="8"/>
      <c r="AA425" s="8"/>
      <c r="AB425" s="8"/>
      <c r="AC425" s="8"/>
    </row>
    <row r="426" ht="12.75" customHeight="1" spans="1:29" x14ac:dyDescent="0.25">
      <c r="A426" s="8"/>
      <c r="B426" s="8"/>
      <c r="C426" s="8"/>
      <c r="D426" s="8"/>
      <c r="E426" s="8"/>
      <c r="F426" s="8"/>
      <c r="G426" s="8"/>
      <c r="H426" s="675"/>
      <c r="I426" s="675"/>
      <c r="J426" s="675"/>
      <c r="K426" s="675"/>
      <c r="L426" s="675"/>
      <c r="M426" s="675"/>
      <c r="N426" s="675"/>
      <c r="O426" s="675"/>
      <c r="P426" s="675"/>
      <c r="Q426" s="675"/>
      <c r="R426" s="675"/>
      <c r="S426" s="675"/>
      <c r="T426" s="675"/>
      <c r="U426" s="8"/>
      <c r="V426" s="8"/>
      <c r="W426" s="8"/>
      <c r="X426" s="8"/>
      <c r="Y426" s="8"/>
      <c r="Z426" s="8"/>
      <c r="AA426" s="8"/>
      <c r="AB426" s="8"/>
      <c r="AC426" s="8"/>
    </row>
    <row r="427" ht="12.75" customHeight="1" spans="1:29" x14ac:dyDescent="0.25">
      <c r="A427" s="8"/>
      <c r="B427" s="8"/>
      <c r="C427" s="8"/>
      <c r="D427" s="8"/>
      <c r="E427" s="8"/>
      <c r="F427" s="8"/>
      <c r="G427" s="8"/>
      <c r="H427" s="675"/>
      <c r="I427" s="675"/>
      <c r="J427" s="675"/>
      <c r="K427" s="675"/>
      <c r="L427" s="675"/>
      <c r="M427" s="675"/>
      <c r="N427" s="675"/>
      <c r="O427" s="675"/>
      <c r="P427" s="675"/>
      <c r="Q427" s="675"/>
      <c r="R427" s="675"/>
      <c r="S427" s="675"/>
      <c r="T427" s="675"/>
      <c r="U427" s="8"/>
      <c r="V427" s="8"/>
      <c r="W427" s="8"/>
      <c r="X427" s="8"/>
      <c r="Y427" s="8"/>
      <c r="Z427" s="8"/>
      <c r="AA427" s="8"/>
      <c r="AB427" s="8"/>
      <c r="AC427" s="8"/>
    </row>
    <row r="428" ht="12.75" customHeight="1" spans="1:29" x14ac:dyDescent="0.25">
      <c r="A428" s="8"/>
      <c r="B428" s="8"/>
      <c r="C428" s="8"/>
      <c r="D428" s="8"/>
      <c r="E428" s="8"/>
      <c r="F428" s="8"/>
      <c r="G428" s="8"/>
      <c r="H428" s="675"/>
      <c r="I428" s="675"/>
      <c r="J428" s="675"/>
      <c r="K428" s="675"/>
      <c r="L428" s="675"/>
      <c r="M428" s="675"/>
      <c r="N428" s="675"/>
      <c r="O428" s="675"/>
      <c r="P428" s="675"/>
      <c r="Q428" s="675"/>
      <c r="R428" s="675"/>
      <c r="S428" s="675"/>
      <c r="T428" s="675"/>
      <c r="U428" s="8"/>
      <c r="V428" s="8"/>
      <c r="W428" s="8"/>
      <c r="X428" s="8"/>
      <c r="Y428" s="8"/>
      <c r="Z428" s="8"/>
      <c r="AA428" s="8"/>
      <c r="AB428" s="8"/>
      <c r="AC428" s="8"/>
    </row>
    <row r="429" ht="12.75" customHeight="1" spans="1:29" x14ac:dyDescent="0.25">
      <c r="A429" s="8"/>
      <c r="B429" s="8"/>
      <c r="C429" s="8"/>
      <c r="D429" s="8"/>
      <c r="E429" s="8"/>
      <c r="F429" s="8"/>
      <c r="G429" s="8"/>
      <c r="H429" s="675"/>
      <c r="I429" s="675"/>
      <c r="J429" s="675"/>
      <c r="K429" s="675"/>
      <c r="L429" s="675"/>
      <c r="M429" s="675"/>
      <c r="N429" s="675"/>
      <c r="O429" s="675"/>
      <c r="P429" s="675"/>
      <c r="Q429" s="675"/>
      <c r="R429" s="675"/>
      <c r="S429" s="675"/>
      <c r="T429" s="675"/>
      <c r="U429" s="8"/>
      <c r="V429" s="8"/>
      <c r="W429" s="8"/>
      <c r="X429" s="8"/>
      <c r="Y429" s="8"/>
      <c r="Z429" s="8"/>
      <c r="AA429" s="8"/>
      <c r="AB429" s="8"/>
      <c r="AC429" s="8"/>
    </row>
    <row r="430" ht="12.75" customHeight="1" spans="1:29" x14ac:dyDescent="0.25">
      <c r="A430" s="8"/>
      <c r="B430" s="8"/>
      <c r="C430" s="8"/>
      <c r="D430" s="8"/>
      <c r="E430" s="8"/>
      <c r="F430" s="8"/>
      <c r="G430" s="8"/>
      <c r="H430" s="675"/>
      <c r="I430" s="675"/>
      <c r="J430" s="675"/>
      <c r="K430" s="675"/>
      <c r="L430" s="675"/>
      <c r="M430" s="675"/>
      <c r="N430" s="675"/>
      <c r="O430" s="675"/>
      <c r="P430" s="675"/>
      <c r="Q430" s="675"/>
      <c r="R430" s="675"/>
      <c r="S430" s="675"/>
      <c r="T430" s="675"/>
      <c r="U430" s="8"/>
      <c r="V430" s="8"/>
      <c r="W430" s="8"/>
      <c r="X430" s="8"/>
      <c r="Y430" s="8"/>
      <c r="Z430" s="8"/>
      <c r="AA430" s="8"/>
      <c r="AB430" s="8"/>
      <c r="AC430" s="8"/>
    </row>
    <row r="431" ht="12.75" customHeight="1" spans="1:29" x14ac:dyDescent="0.25">
      <c r="A431" s="8"/>
      <c r="B431" s="8"/>
      <c r="C431" s="8"/>
      <c r="D431" s="8"/>
      <c r="E431" s="8"/>
      <c r="F431" s="8"/>
      <c r="G431" s="8"/>
      <c r="H431" s="675"/>
      <c r="I431" s="675"/>
      <c r="J431" s="675"/>
      <c r="K431" s="675"/>
      <c r="L431" s="675"/>
      <c r="M431" s="675"/>
      <c r="N431" s="675"/>
      <c r="O431" s="675"/>
      <c r="P431" s="675"/>
      <c r="Q431" s="675"/>
      <c r="R431" s="675"/>
      <c r="S431" s="675"/>
      <c r="T431" s="675"/>
      <c r="U431" s="8"/>
      <c r="V431" s="8"/>
      <c r="W431" s="8"/>
      <c r="X431" s="8"/>
      <c r="Y431" s="8"/>
      <c r="Z431" s="8"/>
      <c r="AA431" s="8"/>
      <c r="AB431" s="8"/>
      <c r="AC431" s="8"/>
    </row>
    <row r="432" ht="12.75" customHeight="1" spans="1:29" x14ac:dyDescent="0.25">
      <c r="A432" s="8"/>
      <c r="B432" s="8"/>
      <c r="C432" s="8"/>
      <c r="D432" s="8"/>
      <c r="E432" s="8"/>
      <c r="F432" s="8"/>
      <c r="G432" s="8"/>
      <c r="H432" s="675"/>
      <c r="I432" s="675"/>
      <c r="J432" s="675"/>
      <c r="K432" s="675"/>
      <c r="L432" s="675"/>
      <c r="M432" s="675"/>
      <c r="N432" s="675"/>
      <c r="O432" s="675"/>
      <c r="P432" s="675"/>
      <c r="Q432" s="675"/>
      <c r="R432" s="675"/>
      <c r="S432" s="675"/>
      <c r="T432" s="675"/>
      <c r="U432" s="8"/>
      <c r="V432" s="8"/>
      <c r="W432" s="8"/>
      <c r="X432" s="8"/>
      <c r="Y432" s="8"/>
      <c r="Z432" s="8"/>
      <c r="AA432" s="8"/>
      <c r="AB432" s="8"/>
      <c r="AC432" s="8"/>
    </row>
    <row r="433" ht="12.75" customHeight="1" spans="1:29" x14ac:dyDescent="0.25">
      <c r="A433" s="8"/>
      <c r="B433" s="8"/>
      <c r="C433" s="8"/>
      <c r="D433" s="8"/>
      <c r="E433" s="8"/>
      <c r="F433" s="8"/>
      <c r="G433" s="8"/>
      <c r="H433" s="675"/>
      <c r="I433" s="675"/>
      <c r="J433" s="675"/>
      <c r="K433" s="675"/>
      <c r="L433" s="675"/>
      <c r="M433" s="675"/>
      <c r="N433" s="675"/>
      <c r="O433" s="675"/>
      <c r="P433" s="675"/>
      <c r="Q433" s="675"/>
      <c r="R433" s="675"/>
      <c r="S433" s="675"/>
      <c r="T433" s="675"/>
      <c r="U433" s="8"/>
      <c r="V433" s="8"/>
      <c r="W433" s="8"/>
      <c r="X433" s="8"/>
      <c r="Y433" s="8"/>
      <c r="Z433" s="8"/>
      <c r="AA433" s="8"/>
      <c r="AB433" s="8"/>
      <c r="AC433" s="8"/>
    </row>
    <row r="434" ht="12.75" customHeight="1" spans="1:29" x14ac:dyDescent="0.25">
      <c r="A434" s="8"/>
      <c r="B434" s="8"/>
      <c r="C434" s="8"/>
      <c r="D434" s="8"/>
      <c r="E434" s="8"/>
      <c r="F434" s="8"/>
      <c r="G434" s="8"/>
      <c r="H434" s="675"/>
      <c r="I434" s="675"/>
      <c r="J434" s="675"/>
      <c r="K434" s="675"/>
      <c r="L434" s="675"/>
      <c r="M434" s="675"/>
      <c r="N434" s="675"/>
      <c r="O434" s="675"/>
      <c r="P434" s="675"/>
      <c r="Q434" s="675"/>
      <c r="R434" s="675"/>
      <c r="S434" s="675"/>
      <c r="T434" s="675"/>
      <c r="U434" s="8"/>
      <c r="V434" s="8"/>
      <c r="W434" s="8"/>
      <c r="X434" s="8"/>
      <c r="Y434" s="8"/>
      <c r="Z434" s="8"/>
      <c r="AA434" s="8"/>
      <c r="AB434" s="8"/>
      <c r="AC434" s="8"/>
    </row>
    <row r="435" ht="12.75" customHeight="1" spans="1:29" x14ac:dyDescent="0.25">
      <c r="A435" s="8"/>
      <c r="B435" s="8"/>
      <c r="C435" s="8"/>
      <c r="D435" s="8"/>
      <c r="E435" s="8"/>
      <c r="F435" s="8"/>
      <c r="G435" s="8"/>
      <c r="H435" s="675"/>
      <c r="I435" s="675"/>
      <c r="J435" s="675"/>
      <c r="K435" s="675"/>
      <c r="L435" s="675"/>
      <c r="M435" s="675"/>
      <c r="N435" s="675"/>
      <c r="O435" s="675"/>
      <c r="P435" s="675"/>
      <c r="Q435" s="675"/>
      <c r="R435" s="675"/>
      <c r="S435" s="675"/>
      <c r="T435" s="675"/>
      <c r="U435" s="8"/>
      <c r="V435" s="8"/>
      <c r="W435" s="8"/>
      <c r="X435" s="8"/>
      <c r="Y435" s="8"/>
      <c r="Z435" s="8"/>
      <c r="AA435" s="8"/>
      <c r="AB435" s="8"/>
      <c r="AC435" s="8"/>
    </row>
    <row r="436" ht="12.75" customHeight="1" spans="1:29" x14ac:dyDescent="0.25">
      <c r="A436" s="8"/>
      <c r="B436" s="8"/>
      <c r="C436" s="8"/>
      <c r="D436" s="8"/>
      <c r="E436" s="8"/>
      <c r="F436" s="8"/>
      <c r="G436" s="8"/>
      <c r="H436" s="675"/>
      <c r="I436" s="675"/>
      <c r="J436" s="675"/>
      <c r="K436" s="675"/>
      <c r="L436" s="675"/>
      <c r="M436" s="675"/>
      <c r="N436" s="675"/>
      <c r="O436" s="675"/>
      <c r="P436" s="675"/>
      <c r="Q436" s="675"/>
      <c r="R436" s="675"/>
      <c r="S436" s="675"/>
      <c r="T436" s="675"/>
      <c r="U436" s="8"/>
      <c r="V436" s="8"/>
      <c r="W436" s="8"/>
      <c r="X436" s="8"/>
      <c r="Y436" s="8"/>
      <c r="Z436" s="8"/>
      <c r="AA436" s="8"/>
      <c r="AB436" s="8"/>
      <c r="AC436" s="8"/>
    </row>
    <row r="437" ht="12.75" customHeight="1" spans="1:29" x14ac:dyDescent="0.25">
      <c r="A437" s="8"/>
      <c r="B437" s="8"/>
      <c r="C437" s="8"/>
      <c r="D437" s="8"/>
      <c r="E437" s="8"/>
      <c r="F437" s="8"/>
      <c r="G437" s="8"/>
      <c r="H437" s="675"/>
      <c r="I437" s="675"/>
      <c r="J437" s="675"/>
      <c r="K437" s="675"/>
      <c r="L437" s="675"/>
      <c r="M437" s="675"/>
      <c r="N437" s="675"/>
      <c r="O437" s="675"/>
      <c r="P437" s="675"/>
      <c r="Q437" s="675"/>
      <c r="R437" s="675"/>
      <c r="S437" s="675"/>
      <c r="T437" s="675"/>
      <c r="U437" s="8"/>
      <c r="V437" s="8"/>
      <c r="W437" s="8"/>
      <c r="X437" s="8"/>
      <c r="Y437" s="8"/>
      <c r="Z437" s="8"/>
      <c r="AA437" s="8"/>
      <c r="AB437" s="8"/>
      <c r="AC437" s="8"/>
    </row>
    <row r="438" ht="12.75" customHeight="1" spans="1:29" x14ac:dyDescent="0.25">
      <c r="A438" s="8"/>
      <c r="B438" s="8"/>
      <c r="C438" s="8"/>
      <c r="D438" s="8"/>
      <c r="E438" s="8"/>
      <c r="F438" s="8"/>
      <c r="G438" s="8"/>
      <c r="H438" s="675"/>
      <c r="I438" s="675"/>
      <c r="J438" s="675"/>
      <c r="K438" s="675"/>
      <c r="L438" s="675"/>
      <c r="M438" s="675"/>
      <c r="N438" s="675"/>
      <c r="O438" s="675"/>
      <c r="P438" s="675"/>
      <c r="Q438" s="675"/>
      <c r="R438" s="675"/>
      <c r="S438" s="675"/>
      <c r="T438" s="675"/>
      <c r="U438" s="8"/>
      <c r="V438" s="8"/>
      <c r="W438" s="8"/>
      <c r="X438" s="8"/>
      <c r="Y438" s="8"/>
      <c r="Z438" s="8"/>
      <c r="AA438" s="8"/>
      <c r="AB438" s="8"/>
      <c r="AC438" s="8"/>
    </row>
    <row r="439" ht="12.75" customHeight="1" spans="1:29" x14ac:dyDescent="0.25">
      <c r="A439" s="8"/>
      <c r="B439" s="8"/>
      <c r="C439" s="8"/>
      <c r="D439" s="8"/>
      <c r="E439" s="8"/>
      <c r="F439" s="8"/>
      <c r="G439" s="8"/>
      <c r="H439" s="675"/>
      <c r="I439" s="675"/>
      <c r="J439" s="675"/>
      <c r="K439" s="675"/>
      <c r="L439" s="675"/>
      <c r="M439" s="675"/>
      <c r="N439" s="675"/>
      <c r="O439" s="675"/>
      <c r="P439" s="675"/>
      <c r="Q439" s="675"/>
      <c r="R439" s="675"/>
      <c r="S439" s="675"/>
      <c r="T439" s="675"/>
      <c r="U439" s="8"/>
      <c r="V439" s="8"/>
      <c r="W439" s="8"/>
      <c r="X439" s="8"/>
      <c r="Y439" s="8"/>
      <c r="Z439" s="8"/>
      <c r="AA439" s="8"/>
      <c r="AB439" s="8"/>
      <c r="AC439" s="8"/>
    </row>
    <row r="440" ht="12.75" customHeight="1" spans="1:29" x14ac:dyDescent="0.25">
      <c r="A440" s="8"/>
      <c r="B440" s="8"/>
      <c r="C440" s="8"/>
      <c r="D440" s="8"/>
      <c r="E440" s="8"/>
      <c r="F440" s="8"/>
      <c r="G440" s="8"/>
      <c r="H440" s="675"/>
      <c r="I440" s="675"/>
      <c r="J440" s="675"/>
      <c r="K440" s="675"/>
      <c r="L440" s="675"/>
      <c r="M440" s="675"/>
      <c r="N440" s="675"/>
      <c r="O440" s="675"/>
      <c r="P440" s="675"/>
      <c r="Q440" s="675"/>
      <c r="R440" s="675"/>
      <c r="S440" s="675"/>
      <c r="T440" s="675"/>
      <c r="U440" s="8"/>
      <c r="V440" s="8"/>
      <c r="W440" s="8"/>
      <c r="X440" s="8"/>
      <c r="Y440" s="8"/>
      <c r="Z440" s="8"/>
      <c r="AA440" s="8"/>
      <c r="AB440" s="8"/>
      <c r="AC440" s="8"/>
    </row>
    <row r="441" ht="12.75" customHeight="1" spans="1:29" x14ac:dyDescent="0.25">
      <c r="A441" s="8"/>
      <c r="B441" s="8"/>
      <c r="C441" s="8"/>
      <c r="D441" s="8"/>
      <c r="E441" s="8"/>
      <c r="F441" s="8"/>
      <c r="G441" s="8"/>
      <c r="H441" s="675"/>
      <c r="I441" s="675"/>
      <c r="J441" s="675"/>
      <c r="K441" s="675"/>
      <c r="L441" s="675"/>
      <c r="M441" s="675"/>
      <c r="N441" s="675"/>
      <c r="O441" s="675"/>
      <c r="P441" s="675"/>
      <c r="Q441" s="675"/>
      <c r="R441" s="675"/>
      <c r="S441" s="675"/>
      <c r="T441" s="675"/>
      <c r="U441" s="8"/>
      <c r="V441" s="8"/>
      <c r="W441" s="8"/>
      <c r="X441" s="8"/>
      <c r="Y441" s="8"/>
      <c r="Z441" s="8"/>
      <c r="AA441" s="8"/>
      <c r="AB441" s="8"/>
      <c r="AC441" s="8"/>
    </row>
    <row r="442" ht="12.75" customHeight="1" spans="1:29" x14ac:dyDescent="0.25">
      <c r="A442" s="8"/>
      <c r="B442" s="8"/>
      <c r="C442" s="8"/>
      <c r="D442" s="8"/>
      <c r="E442" s="8"/>
      <c r="F442" s="8"/>
      <c r="G442" s="8"/>
      <c r="H442" s="675"/>
      <c r="I442" s="675"/>
      <c r="J442" s="675"/>
      <c r="K442" s="675"/>
      <c r="L442" s="675"/>
      <c r="M442" s="675"/>
      <c r="N442" s="675"/>
      <c r="O442" s="675"/>
      <c r="P442" s="675"/>
      <c r="Q442" s="675"/>
      <c r="R442" s="675"/>
      <c r="S442" s="675"/>
      <c r="T442" s="675"/>
      <c r="U442" s="8"/>
      <c r="V442" s="8"/>
      <c r="W442" s="8"/>
      <c r="X442" s="8"/>
      <c r="Y442" s="8"/>
      <c r="Z442" s="8"/>
      <c r="AA442" s="8"/>
      <c r="AB442" s="8"/>
      <c r="AC442" s="8"/>
    </row>
    <row r="443" ht="12.75" customHeight="1" spans="1:29" x14ac:dyDescent="0.25">
      <c r="A443" s="8"/>
      <c r="B443" s="8"/>
      <c r="C443" s="8"/>
      <c r="D443" s="8"/>
      <c r="E443" s="8"/>
      <c r="F443" s="8"/>
      <c r="G443" s="8"/>
      <c r="H443" s="675"/>
      <c r="I443" s="675"/>
      <c r="J443" s="675"/>
      <c r="K443" s="675"/>
      <c r="L443" s="675"/>
      <c r="M443" s="675"/>
      <c r="N443" s="675"/>
      <c r="O443" s="675"/>
      <c r="P443" s="675"/>
      <c r="Q443" s="675"/>
      <c r="R443" s="675"/>
      <c r="S443" s="675"/>
      <c r="T443" s="675"/>
      <c r="U443" s="8"/>
      <c r="V443" s="8"/>
      <c r="W443" s="8"/>
      <c r="X443" s="8"/>
      <c r="Y443" s="8"/>
      <c r="Z443" s="8"/>
      <c r="AA443" s="8"/>
      <c r="AB443" s="8"/>
      <c r="AC443" s="8"/>
    </row>
    <row r="444" ht="12.75" customHeight="1" spans="1:29" x14ac:dyDescent="0.25">
      <c r="A444" s="8"/>
      <c r="B444" s="8"/>
      <c r="C444" s="8"/>
      <c r="D444" s="8"/>
      <c r="E444" s="8"/>
      <c r="F444" s="8"/>
      <c r="G444" s="8"/>
      <c r="H444" s="675"/>
      <c r="I444" s="675"/>
      <c r="J444" s="675"/>
      <c r="K444" s="675"/>
      <c r="L444" s="675"/>
      <c r="M444" s="675"/>
      <c r="N444" s="675"/>
      <c r="O444" s="675"/>
      <c r="P444" s="675"/>
      <c r="Q444" s="675"/>
      <c r="R444" s="675"/>
      <c r="S444" s="675"/>
      <c r="T444" s="675"/>
      <c r="U444" s="8"/>
      <c r="V444" s="8"/>
      <c r="W444" s="8"/>
      <c r="X444" s="8"/>
      <c r="Y444" s="8"/>
      <c r="Z444" s="8"/>
      <c r="AA444" s="8"/>
      <c r="AB444" s="8"/>
      <c r="AC444" s="8"/>
    </row>
    <row r="445" ht="12.75" customHeight="1" spans="1:29" x14ac:dyDescent="0.25">
      <c r="A445" s="8"/>
      <c r="B445" s="8"/>
      <c r="C445" s="8"/>
      <c r="D445" s="8"/>
      <c r="E445" s="8"/>
      <c r="F445" s="8"/>
      <c r="G445" s="8"/>
      <c r="H445" s="675"/>
      <c r="I445" s="675"/>
      <c r="J445" s="675"/>
      <c r="K445" s="675"/>
      <c r="L445" s="675"/>
      <c r="M445" s="675"/>
      <c r="N445" s="675"/>
      <c r="O445" s="675"/>
      <c r="P445" s="675"/>
      <c r="Q445" s="675"/>
      <c r="R445" s="675"/>
      <c r="S445" s="675"/>
      <c r="T445" s="675"/>
      <c r="U445" s="8"/>
      <c r="V445" s="8"/>
      <c r="W445" s="8"/>
      <c r="X445" s="8"/>
      <c r="Y445" s="8"/>
      <c r="Z445" s="8"/>
      <c r="AA445" s="8"/>
      <c r="AB445" s="8"/>
      <c r="AC445" s="8"/>
    </row>
    <row r="446" ht="12.75" customHeight="1" spans="1:29" x14ac:dyDescent="0.25">
      <c r="A446" s="8"/>
      <c r="B446" s="8"/>
      <c r="C446" s="8"/>
      <c r="D446" s="8"/>
      <c r="E446" s="8"/>
      <c r="F446" s="8"/>
      <c r="G446" s="8"/>
      <c r="H446" s="675"/>
      <c r="I446" s="675"/>
      <c r="J446" s="675"/>
      <c r="K446" s="675"/>
      <c r="L446" s="675"/>
      <c r="M446" s="675"/>
      <c r="N446" s="675"/>
      <c r="O446" s="675"/>
      <c r="P446" s="675"/>
      <c r="Q446" s="675"/>
      <c r="R446" s="675"/>
      <c r="S446" s="675"/>
      <c r="T446" s="675"/>
      <c r="U446" s="8"/>
      <c r="V446" s="8"/>
      <c r="W446" s="8"/>
      <c r="X446" s="8"/>
      <c r="Y446" s="8"/>
      <c r="Z446" s="8"/>
      <c r="AA446" s="8"/>
      <c r="AB446" s="8"/>
      <c r="AC446" s="8"/>
    </row>
    <row r="447" ht="12.75" customHeight="1" spans="1:29" x14ac:dyDescent="0.25">
      <c r="A447" s="8"/>
      <c r="B447" s="8"/>
      <c r="C447" s="8"/>
      <c r="D447" s="8"/>
      <c r="E447" s="8"/>
      <c r="F447" s="8"/>
      <c r="G447" s="8"/>
      <c r="H447" s="675"/>
      <c r="I447" s="675"/>
      <c r="J447" s="675"/>
      <c r="K447" s="675"/>
      <c r="L447" s="675"/>
      <c r="M447" s="675"/>
      <c r="N447" s="675"/>
      <c r="O447" s="675"/>
      <c r="P447" s="675"/>
      <c r="Q447" s="675"/>
      <c r="R447" s="675"/>
      <c r="S447" s="675"/>
      <c r="T447" s="675"/>
      <c r="U447" s="8"/>
      <c r="V447" s="8"/>
      <c r="W447" s="8"/>
      <c r="X447" s="8"/>
      <c r="Y447" s="8"/>
      <c r="Z447" s="8"/>
      <c r="AA447" s="8"/>
      <c r="AB447" s="8"/>
      <c r="AC447" s="8"/>
    </row>
    <row r="448" ht="12.75" customHeight="1" spans="1:29" x14ac:dyDescent="0.25">
      <c r="A448" s="8"/>
      <c r="B448" s="8"/>
      <c r="C448" s="8"/>
      <c r="D448" s="8"/>
      <c r="E448" s="8"/>
      <c r="F448" s="8"/>
      <c r="G448" s="8"/>
      <c r="H448" s="675"/>
      <c r="I448" s="675"/>
      <c r="J448" s="675"/>
      <c r="K448" s="675"/>
      <c r="L448" s="675"/>
      <c r="M448" s="675"/>
      <c r="N448" s="675"/>
      <c r="O448" s="675"/>
      <c r="P448" s="675"/>
      <c r="Q448" s="675"/>
      <c r="R448" s="675"/>
      <c r="S448" s="675"/>
      <c r="T448" s="675"/>
      <c r="U448" s="8"/>
      <c r="V448" s="8"/>
      <c r="W448" s="8"/>
      <c r="X448" s="8"/>
      <c r="Y448" s="8"/>
      <c r="Z448" s="8"/>
      <c r="AA448" s="8"/>
      <c r="AB448" s="8"/>
      <c r="AC448" s="8"/>
    </row>
    <row r="449" ht="12.75" customHeight="1" spans="1:29" x14ac:dyDescent="0.25">
      <c r="A449" s="8"/>
      <c r="B449" s="8"/>
      <c r="C449" s="8"/>
      <c r="D449" s="8"/>
      <c r="E449" s="8"/>
      <c r="F449" s="8"/>
      <c r="G449" s="8"/>
      <c r="H449" s="675"/>
      <c r="I449" s="675"/>
      <c r="J449" s="675"/>
      <c r="K449" s="675"/>
      <c r="L449" s="675"/>
      <c r="M449" s="675"/>
      <c r="N449" s="675"/>
      <c r="O449" s="675"/>
      <c r="P449" s="675"/>
      <c r="Q449" s="675"/>
      <c r="R449" s="675"/>
      <c r="S449" s="675"/>
      <c r="T449" s="675"/>
      <c r="U449" s="8"/>
      <c r="V449" s="8"/>
      <c r="W449" s="8"/>
      <c r="X449" s="8"/>
      <c r="Y449" s="8"/>
      <c r="Z449" s="8"/>
      <c r="AA449" s="8"/>
      <c r="AB449" s="8"/>
      <c r="AC449" s="8"/>
    </row>
    <row r="450" ht="12.75" customHeight="1" spans="1:29" x14ac:dyDescent="0.25">
      <c r="A450" s="8"/>
      <c r="B450" s="8"/>
      <c r="C450" s="8"/>
      <c r="D450" s="8"/>
      <c r="E450" s="8"/>
      <c r="F450" s="8"/>
      <c r="G450" s="8"/>
      <c r="H450" s="675"/>
      <c r="I450" s="675"/>
      <c r="J450" s="675"/>
      <c r="K450" s="675"/>
      <c r="L450" s="675"/>
      <c r="M450" s="675"/>
      <c r="N450" s="675"/>
      <c r="O450" s="675"/>
      <c r="P450" s="675"/>
      <c r="Q450" s="675"/>
      <c r="R450" s="675"/>
      <c r="S450" s="675"/>
      <c r="T450" s="675"/>
      <c r="U450" s="8"/>
      <c r="V450" s="8"/>
      <c r="W450" s="8"/>
      <c r="X450" s="8"/>
      <c r="Y450" s="8"/>
      <c r="Z450" s="8"/>
      <c r="AA450" s="8"/>
      <c r="AB450" s="8"/>
      <c r="AC450" s="8"/>
    </row>
    <row r="451" ht="12.75" customHeight="1" spans="1:29" x14ac:dyDescent="0.25">
      <c r="A451" s="8"/>
      <c r="B451" s="8"/>
      <c r="C451" s="8"/>
      <c r="D451" s="8"/>
      <c r="E451" s="8"/>
      <c r="F451" s="8"/>
      <c r="G451" s="8"/>
      <c r="H451" s="675"/>
      <c r="I451" s="675"/>
      <c r="J451" s="675"/>
      <c r="K451" s="675"/>
      <c r="L451" s="675"/>
      <c r="M451" s="675"/>
      <c r="N451" s="675"/>
      <c r="O451" s="675"/>
      <c r="P451" s="675"/>
      <c r="Q451" s="675"/>
      <c r="R451" s="675"/>
      <c r="S451" s="675"/>
      <c r="T451" s="675"/>
      <c r="U451" s="8"/>
      <c r="V451" s="8"/>
      <c r="W451" s="8"/>
      <c r="X451" s="8"/>
      <c r="Y451" s="8"/>
      <c r="Z451" s="8"/>
      <c r="AA451" s="8"/>
      <c r="AB451" s="8"/>
      <c r="AC451" s="8"/>
    </row>
    <row r="452" ht="12.75" customHeight="1" spans="1:29" x14ac:dyDescent="0.25">
      <c r="A452" s="8"/>
      <c r="B452" s="8"/>
      <c r="C452" s="8"/>
      <c r="D452" s="8"/>
      <c r="E452" s="8"/>
      <c r="F452" s="8"/>
      <c r="G452" s="8"/>
      <c r="H452" s="675"/>
      <c r="I452" s="675"/>
      <c r="J452" s="675"/>
      <c r="K452" s="675"/>
      <c r="L452" s="675"/>
      <c r="M452" s="675"/>
      <c r="N452" s="675"/>
      <c r="O452" s="675"/>
      <c r="P452" s="675"/>
      <c r="Q452" s="675"/>
      <c r="R452" s="675"/>
      <c r="S452" s="675"/>
      <c r="T452" s="675"/>
      <c r="U452" s="8"/>
      <c r="V452" s="8"/>
      <c r="W452" s="8"/>
      <c r="X452" s="8"/>
      <c r="Y452" s="8"/>
      <c r="Z452" s="8"/>
      <c r="AA452" s="8"/>
      <c r="AB452" s="8"/>
      <c r="AC452" s="8"/>
    </row>
    <row r="453" ht="12.75" customHeight="1" spans="1:29" x14ac:dyDescent="0.25">
      <c r="A453" s="8"/>
      <c r="B453" s="8"/>
      <c r="C453" s="8"/>
      <c r="D453" s="8"/>
      <c r="E453" s="8"/>
      <c r="F453" s="8"/>
      <c r="G453" s="8"/>
      <c r="H453" s="675"/>
      <c r="I453" s="675"/>
      <c r="J453" s="675"/>
      <c r="K453" s="675"/>
      <c r="L453" s="675"/>
      <c r="M453" s="675"/>
      <c r="N453" s="675"/>
      <c r="O453" s="675"/>
      <c r="P453" s="675"/>
      <c r="Q453" s="675"/>
      <c r="R453" s="675"/>
      <c r="S453" s="675"/>
      <c r="T453" s="675"/>
      <c r="U453" s="8"/>
      <c r="V453" s="8"/>
      <c r="W453" s="8"/>
      <c r="X453" s="8"/>
      <c r="Y453" s="8"/>
      <c r="Z453" s="8"/>
      <c r="AA453" s="8"/>
      <c r="AB453" s="8"/>
      <c r="AC453" s="8"/>
    </row>
    <row r="454" ht="12.75" customHeight="1" spans="1:29" x14ac:dyDescent="0.25">
      <c r="A454" s="8"/>
      <c r="B454" s="8"/>
      <c r="C454" s="8"/>
      <c r="D454" s="8"/>
      <c r="E454" s="8"/>
      <c r="F454" s="8"/>
      <c r="G454" s="8"/>
      <c r="H454" s="675"/>
      <c r="I454" s="675"/>
      <c r="J454" s="675"/>
      <c r="K454" s="675"/>
      <c r="L454" s="675"/>
      <c r="M454" s="675"/>
      <c r="N454" s="675"/>
      <c r="O454" s="675"/>
      <c r="P454" s="675"/>
      <c r="Q454" s="675"/>
      <c r="R454" s="675"/>
      <c r="S454" s="675"/>
      <c r="T454" s="675"/>
      <c r="U454" s="8"/>
      <c r="V454" s="8"/>
      <c r="W454" s="8"/>
      <c r="X454" s="8"/>
      <c r="Y454" s="8"/>
      <c r="Z454" s="8"/>
      <c r="AA454" s="8"/>
      <c r="AB454" s="8"/>
      <c r="AC454" s="8"/>
    </row>
    <row r="455" ht="12.75" customHeight="1" spans="1:29" x14ac:dyDescent="0.25">
      <c r="A455" s="8"/>
      <c r="B455" s="8"/>
      <c r="C455" s="8"/>
      <c r="D455" s="8"/>
      <c r="E455" s="8"/>
      <c r="F455" s="8"/>
      <c r="G455" s="8"/>
      <c r="H455" s="675"/>
      <c r="I455" s="675"/>
      <c r="J455" s="675"/>
      <c r="K455" s="675"/>
      <c r="L455" s="675"/>
      <c r="M455" s="675"/>
      <c r="N455" s="675"/>
      <c r="O455" s="675"/>
      <c r="P455" s="675"/>
      <c r="Q455" s="675"/>
      <c r="R455" s="675"/>
      <c r="S455" s="675"/>
      <c r="T455" s="675"/>
      <c r="U455" s="8"/>
      <c r="V455" s="8"/>
      <c r="W455" s="8"/>
      <c r="X455" s="8"/>
      <c r="Y455" s="8"/>
      <c r="Z455" s="8"/>
      <c r="AA455" s="8"/>
      <c r="AB455" s="8"/>
      <c r="AC455" s="8"/>
    </row>
    <row r="456" ht="12.75" customHeight="1" spans="1:29" x14ac:dyDescent="0.25">
      <c r="A456" s="8"/>
      <c r="B456" s="8"/>
      <c r="C456" s="8"/>
      <c r="D456" s="8"/>
      <c r="E456" s="8"/>
      <c r="F456" s="8"/>
      <c r="G456" s="8"/>
      <c r="H456" s="675"/>
      <c r="I456" s="675"/>
      <c r="J456" s="675"/>
      <c r="K456" s="675"/>
      <c r="L456" s="675"/>
      <c r="M456" s="675"/>
      <c r="N456" s="675"/>
      <c r="O456" s="675"/>
      <c r="P456" s="675"/>
      <c r="Q456" s="675"/>
      <c r="R456" s="675"/>
      <c r="S456" s="675"/>
      <c r="T456" s="675"/>
      <c r="U456" s="8"/>
      <c r="V456" s="8"/>
      <c r="W456" s="8"/>
      <c r="X456" s="8"/>
      <c r="Y456" s="8"/>
      <c r="Z456" s="8"/>
      <c r="AA456" s="8"/>
      <c r="AB456" s="8"/>
      <c r="AC456" s="8"/>
    </row>
    <row r="457" ht="12.75" customHeight="1" spans="1:29" x14ac:dyDescent="0.25">
      <c r="A457" s="8"/>
      <c r="B457" s="8"/>
      <c r="C457" s="8"/>
      <c r="D457" s="8"/>
      <c r="E457" s="8"/>
      <c r="F457" s="8"/>
      <c r="G457" s="8"/>
      <c r="H457" s="675"/>
      <c r="I457" s="675"/>
      <c r="J457" s="675"/>
      <c r="K457" s="675"/>
      <c r="L457" s="675"/>
      <c r="M457" s="675"/>
      <c r="N457" s="675"/>
      <c r="O457" s="675"/>
      <c r="P457" s="675"/>
      <c r="Q457" s="675"/>
      <c r="R457" s="675"/>
      <c r="S457" s="675"/>
      <c r="T457" s="675"/>
      <c r="U457" s="8"/>
      <c r="V457" s="8"/>
      <c r="W457" s="8"/>
      <c r="X457" s="8"/>
      <c r="Y457" s="8"/>
      <c r="Z457" s="8"/>
      <c r="AA457" s="8"/>
      <c r="AB457" s="8"/>
      <c r="AC457" s="8"/>
    </row>
    <row r="458" ht="12.75" customHeight="1" spans="1:29" x14ac:dyDescent="0.25">
      <c r="A458" s="8"/>
      <c r="B458" s="8"/>
      <c r="C458" s="8"/>
      <c r="D458" s="8"/>
      <c r="E458" s="8"/>
      <c r="F458" s="8"/>
      <c r="G458" s="8"/>
      <c r="H458" s="675"/>
      <c r="I458" s="675"/>
      <c r="J458" s="675"/>
      <c r="K458" s="675"/>
      <c r="L458" s="675"/>
      <c r="M458" s="675"/>
      <c r="N458" s="675"/>
      <c r="O458" s="675"/>
      <c r="P458" s="675"/>
      <c r="Q458" s="675"/>
      <c r="R458" s="675"/>
      <c r="S458" s="675"/>
      <c r="T458" s="675"/>
      <c r="U458" s="8"/>
      <c r="V458" s="8"/>
      <c r="W458" s="8"/>
      <c r="X458" s="8"/>
      <c r="Y458" s="8"/>
      <c r="Z458" s="8"/>
      <c r="AA458" s="8"/>
      <c r="AB458" s="8"/>
      <c r="AC458" s="8"/>
    </row>
    <row r="459" ht="12.75" customHeight="1" spans="1:29" x14ac:dyDescent="0.25">
      <c r="A459" s="8"/>
      <c r="B459" s="8"/>
      <c r="C459" s="8"/>
      <c r="D459" s="8"/>
      <c r="E459" s="8"/>
      <c r="F459" s="8"/>
      <c r="G459" s="8"/>
      <c r="H459" s="675"/>
      <c r="I459" s="675"/>
      <c r="J459" s="675"/>
      <c r="K459" s="675"/>
      <c r="L459" s="675"/>
      <c r="M459" s="675"/>
      <c r="N459" s="675"/>
      <c r="O459" s="675"/>
      <c r="P459" s="675"/>
      <c r="Q459" s="675"/>
      <c r="R459" s="675"/>
      <c r="S459" s="675"/>
      <c r="T459" s="675"/>
      <c r="U459" s="8"/>
      <c r="V459" s="8"/>
      <c r="W459" s="8"/>
      <c r="X459" s="8"/>
      <c r="Y459" s="8"/>
      <c r="Z459" s="8"/>
      <c r="AA459" s="8"/>
      <c r="AB459" s="8"/>
      <c r="AC459" s="8"/>
    </row>
    <row r="460" ht="12.75" customHeight="1" spans="1:29" x14ac:dyDescent="0.25">
      <c r="A460" s="8"/>
      <c r="B460" s="8"/>
      <c r="C460" s="8"/>
      <c r="D460" s="8"/>
      <c r="E460" s="8"/>
      <c r="F460" s="8"/>
      <c r="G460" s="8"/>
      <c r="H460" s="675"/>
      <c r="I460" s="675"/>
      <c r="J460" s="675"/>
      <c r="K460" s="675"/>
      <c r="L460" s="675"/>
      <c r="M460" s="675"/>
      <c r="N460" s="675"/>
      <c r="O460" s="675"/>
      <c r="P460" s="675"/>
      <c r="Q460" s="675"/>
      <c r="R460" s="675"/>
      <c r="S460" s="675"/>
      <c r="T460" s="675"/>
      <c r="U460" s="8"/>
      <c r="V460" s="8"/>
      <c r="W460" s="8"/>
      <c r="X460" s="8"/>
      <c r="Y460" s="8"/>
      <c r="Z460" s="8"/>
      <c r="AA460" s="8"/>
      <c r="AB460" s="8"/>
      <c r="AC460" s="8"/>
    </row>
    <row r="461" ht="12.75" customHeight="1" spans="1:29" x14ac:dyDescent="0.25">
      <c r="A461" s="8"/>
      <c r="B461" s="8"/>
      <c r="C461" s="8"/>
      <c r="D461" s="8"/>
      <c r="E461" s="8"/>
      <c r="F461" s="8"/>
      <c r="G461" s="8"/>
      <c r="H461" s="675"/>
      <c r="I461" s="675"/>
      <c r="J461" s="675"/>
      <c r="K461" s="675"/>
      <c r="L461" s="675"/>
      <c r="M461" s="675"/>
      <c r="N461" s="675"/>
      <c r="O461" s="675"/>
      <c r="P461" s="675"/>
      <c r="Q461" s="675"/>
      <c r="R461" s="675"/>
      <c r="S461" s="675"/>
      <c r="T461" s="675"/>
      <c r="U461" s="8"/>
      <c r="V461" s="8"/>
      <c r="W461" s="8"/>
      <c r="X461" s="8"/>
      <c r="Y461" s="8"/>
      <c r="Z461" s="8"/>
      <c r="AA461" s="8"/>
      <c r="AB461" s="8"/>
      <c r="AC461" s="8"/>
    </row>
    <row r="462" ht="12.75" customHeight="1" spans="1:29" x14ac:dyDescent="0.25">
      <c r="A462" s="8"/>
      <c r="B462" s="8"/>
      <c r="C462" s="8"/>
      <c r="D462" s="8"/>
      <c r="E462" s="8"/>
      <c r="F462" s="8"/>
      <c r="G462" s="8"/>
      <c r="H462" s="675"/>
      <c r="I462" s="675"/>
      <c r="J462" s="675"/>
      <c r="K462" s="675"/>
      <c r="L462" s="675"/>
      <c r="M462" s="675"/>
      <c r="N462" s="675"/>
      <c r="O462" s="675"/>
      <c r="P462" s="675"/>
      <c r="Q462" s="675"/>
      <c r="R462" s="675"/>
      <c r="S462" s="675"/>
      <c r="T462" s="675"/>
      <c r="U462" s="8"/>
      <c r="V462" s="8"/>
      <c r="W462" s="8"/>
      <c r="X462" s="8"/>
      <c r="Y462" s="8"/>
      <c r="Z462" s="8"/>
      <c r="AA462" s="8"/>
      <c r="AB462" s="8"/>
      <c r="AC462" s="8"/>
    </row>
    <row r="463" ht="12.75" customHeight="1" spans="1:29" x14ac:dyDescent="0.25">
      <c r="A463" s="8"/>
      <c r="B463" s="8"/>
      <c r="C463" s="8"/>
      <c r="D463" s="8"/>
      <c r="E463" s="8"/>
      <c r="F463" s="8"/>
      <c r="G463" s="8"/>
      <c r="H463" s="675"/>
      <c r="I463" s="675"/>
      <c r="J463" s="675"/>
      <c r="K463" s="675"/>
      <c r="L463" s="675"/>
      <c r="M463" s="675"/>
      <c r="N463" s="675"/>
      <c r="O463" s="675"/>
      <c r="P463" s="675"/>
      <c r="Q463" s="675"/>
      <c r="R463" s="675"/>
      <c r="S463" s="675"/>
      <c r="T463" s="675"/>
      <c r="U463" s="8"/>
      <c r="V463" s="8"/>
      <c r="W463" s="8"/>
      <c r="X463" s="8"/>
      <c r="Y463" s="8"/>
      <c r="Z463" s="8"/>
      <c r="AA463" s="8"/>
      <c r="AB463" s="8"/>
      <c r="AC463" s="8"/>
    </row>
    <row r="464" ht="12.75" customHeight="1" spans="1:29" x14ac:dyDescent="0.25">
      <c r="A464" s="8"/>
      <c r="B464" s="8"/>
      <c r="C464" s="8"/>
      <c r="D464" s="8"/>
      <c r="E464" s="8"/>
      <c r="F464" s="8"/>
      <c r="G464" s="8"/>
      <c r="H464" s="675"/>
      <c r="I464" s="675"/>
      <c r="J464" s="675"/>
      <c r="K464" s="675"/>
      <c r="L464" s="675"/>
      <c r="M464" s="675"/>
      <c r="N464" s="675"/>
      <c r="O464" s="675"/>
      <c r="P464" s="675"/>
      <c r="Q464" s="675"/>
      <c r="R464" s="675"/>
      <c r="S464" s="675"/>
      <c r="T464" s="675"/>
      <c r="U464" s="8"/>
      <c r="V464" s="8"/>
      <c r="W464" s="8"/>
      <c r="X464" s="8"/>
      <c r="Y464" s="8"/>
      <c r="Z464" s="8"/>
      <c r="AA464" s="8"/>
      <c r="AB464" s="8"/>
      <c r="AC464" s="8"/>
    </row>
    <row r="465" ht="12.75" customHeight="1" spans="1:29" x14ac:dyDescent="0.25">
      <c r="A465" s="8"/>
      <c r="B465" s="8"/>
      <c r="C465" s="8"/>
      <c r="D465" s="8"/>
      <c r="E465" s="8"/>
      <c r="F465" s="8"/>
      <c r="G465" s="8"/>
      <c r="H465" s="675"/>
      <c r="I465" s="675"/>
      <c r="J465" s="675"/>
      <c r="K465" s="675"/>
      <c r="L465" s="675"/>
      <c r="M465" s="675"/>
      <c r="N465" s="675"/>
      <c r="O465" s="675"/>
      <c r="P465" s="675"/>
      <c r="Q465" s="675"/>
      <c r="R465" s="675"/>
      <c r="S465" s="675"/>
      <c r="T465" s="675"/>
      <c r="U465" s="8"/>
      <c r="V465" s="8"/>
      <c r="W465" s="8"/>
      <c r="X465" s="8"/>
      <c r="Y465" s="8"/>
      <c r="Z465" s="8"/>
      <c r="AA465" s="8"/>
      <c r="AB465" s="8"/>
      <c r="AC465" s="8"/>
    </row>
    <row r="466" ht="12.75" customHeight="1" spans="1:29" x14ac:dyDescent="0.25">
      <c r="A466" s="8"/>
      <c r="B466" s="8"/>
      <c r="C466" s="8"/>
      <c r="D466" s="8"/>
      <c r="E466" s="8"/>
      <c r="F466" s="8"/>
      <c r="G466" s="8"/>
      <c r="H466" s="675"/>
      <c r="I466" s="675"/>
      <c r="J466" s="675"/>
      <c r="K466" s="675"/>
      <c r="L466" s="675"/>
      <c r="M466" s="675"/>
      <c r="N466" s="675"/>
      <c r="O466" s="675"/>
      <c r="P466" s="675"/>
      <c r="Q466" s="675"/>
      <c r="R466" s="675"/>
      <c r="S466" s="675"/>
      <c r="T466" s="675"/>
      <c r="U466" s="8"/>
      <c r="V466" s="8"/>
      <c r="W466" s="8"/>
      <c r="X466" s="8"/>
      <c r="Y466" s="8"/>
      <c r="Z466" s="8"/>
      <c r="AA466" s="8"/>
      <c r="AB466" s="8"/>
      <c r="AC466" s="8"/>
    </row>
    <row r="467" ht="12.75" customHeight="1" spans="1:29" x14ac:dyDescent="0.25">
      <c r="A467" s="8"/>
      <c r="B467" s="8"/>
      <c r="C467" s="8"/>
      <c r="D467" s="8"/>
      <c r="E467" s="8"/>
      <c r="F467" s="8"/>
      <c r="G467" s="8"/>
      <c r="H467" s="675"/>
      <c r="I467" s="675"/>
      <c r="J467" s="675"/>
      <c r="K467" s="675"/>
      <c r="L467" s="675"/>
      <c r="M467" s="675"/>
      <c r="N467" s="675"/>
      <c r="O467" s="675"/>
      <c r="P467" s="675"/>
      <c r="Q467" s="675"/>
      <c r="R467" s="675"/>
      <c r="S467" s="675"/>
      <c r="T467" s="675"/>
      <c r="U467" s="8"/>
      <c r="V467" s="8"/>
      <c r="W467" s="8"/>
      <c r="X467" s="8"/>
      <c r="Y467" s="8"/>
      <c r="Z467" s="8"/>
      <c r="AA467" s="8"/>
      <c r="AB467" s="8"/>
      <c r="AC467" s="8"/>
    </row>
    <row r="468" ht="12.75" customHeight="1" spans="1:29" x14ac:dyDescent="0.25">
      <c r="A468" s="8"/>
      <c r="B468" s="8"/>
      <c r="C468" s="8"/>
      <c r="D468" s="8"/>
      <c r="E468" s="8"/>
      <c r="F468" s="8"/>
      <c r="G468" s="8"/>
      <c r="H468" s="675"/>
      <c r="I468" s="675"/>
      <c r="J468" s="675"/>
      <c r="K468" s="675"/>
      <c r="L468" s="675"/>
      <c r="M468" s="675"/>
      <c r="N468" s="675"/>
      <c r="O468" s="675"/>
      <c r="P468" s="675"/>
      <c r="Q468" s="675"/>
      <c r="R468" s="675"/>
      <c r="S468" s="675"/>
      <c r="T468" s="675"/>
      <c r="U468" s="8"/>
      <c r="V468" s="8"/>
      <c r="W468" s="8"/>
      <c r="X468" s="8"/>
      <c r="Y468" s="8"/>
      <c r="Z468" s="8"/>
      <c r="AA468" s="8"/>
      <c r="AB468" s="8"/>
      <c r="AC468" s="8"/>
    </row>
    <row r="469" ht="12.75" customHeight="1" spans="1:29" x14ac:dyDescent="0.25">
      <c r="A469" s="8"/>
      <c r="B469" s="8"/>
      <c r="C469" s="8"/>
      <c r="D469" s="8"/>
      <c r="E469" s="8"/>
      <c r="F469" s="8"/>
      <c r="G469" s="8"/>
      <c r="H469" s="675"/>
      <c r="I469" s="675"/>
      <c r="J469" s="675"/>
      <c r="K469" s="675"/>
      <c r="L469" s="675"/>
      <c r="M469" s="675"/>
      <c r="N469" s="675"/>
      <c r="O469" s="675"/>
      <c r="P469" s="675"/>
      <c r="Q469" s="675"/>
      <c r="R469" s="675"/>
      <c r="S469" s="675"/>
      <c r="T469" s="675"/>
      <c r="U469" s="8"/>
      <c r="V469" s="8"/>
      <c r="W469" s="8"/>
      <c r="X469" s="8"/>
      <c r="Y469" s="8"/>
      <c r="Z469" s="8"/>
      <c r="AA469" s="8"/>
      <c r="AB469" s="8"/>
      <c r="AC469" s="8"/>
    </row>
    <row r="470" ht="12.75" customHeight="1" spans="1:29" x14ac:dyDescent="0.25">
      <c r="A470" s="8"/>
      <c r="B470" s="8"/>
      <c r="C470" s="8"/>
      <c r="D470" s="8"/>
      <c r="E470" s="8"/>
      <c r="F470" s="8"/>
      <c r="G470" s="8"/>
      <c r="H470" s="675"/>
      <c r="I470" s="675"/>
      <c r="J470" s="675"/>
      <c r="K470" s="675"/>
      <c r="L470" s="675"/>
      <c r="M470" s="675"/>
      <c r="N470" s="675"/>
      <c r="O470" s="675"/>
      <c r="P470" s="675"/>
      <c r="Q470" s="675"/>
      <c r="R470" s="675"/>
      <c r="S470" s="675"/>
      <c r="T470" s="675"/>
      <c r="U470" s="8"/>
      <c r="V470" s="8"/>
      <c r="W470" s="8"/>
      <c r="X470" s="8"/>
      <c r="Y470" s="8"/>
      <c r="Z470" s="8"/>
      <c r="AA470" s="8"/>
      <c r="AB470" s="8"/>
      <c r="AC470" s="8"/>
    </row>
    <row r="471" ht="12.75" customHeight="1" spans="1:29" x14ac:dyDescent="0.25">
      <c r="A471" s="8"/>
      <c r="B471" s="8"/>
      <c r="C471" s="8"/>
      <c r="D471" s="8"/>
      <c r="E471" s="8"/>
      <c r="F471" s="8"/>
      <c r="G471" s="8"/>
      <c r="H471" s="675"/>
      <c r="I471" s="675"/>
      <c r="J471" s="675"/>
      <c r="K471" s="675"/>
      <c r="L471" s="675"/>
      <c r="M471" s="675"/>
      <c r="N471" s="675"/>
      <c r="O471" s="675"/>
      <c r="P471" s="675"/>
      <c r="Q471" s="675"/>
      <c r="R471" s="675"/>
      <c r="S471" s="675"/>
      <c r="T471" s="675"/>
      <c r="U471" s="8"/>
      <c r="V471" s="8"/>
      <c r="W471" s="8"/>
      <c r="X471" s="8"/>
      <c r="Y471" s="8"/>
      <c r="Z471" s="8"/>
      <c r="AA471" s="8"/>
      <c r="AB471" s="8"/>
      <c r="AC471" s="8"/>
    </row>
    <row r="472" ht="12.75" customHeight="1" spans="1:29" x14ac:dyDescent="0.25">
      <c r="A472" s="8"/>
      <c r="B472" s="8"/>
      <c r="C472" s="8"/>
      <c r="D472" s="8"/>
      <c r="E472" s="8"/>
      <c r="F472" s="8"/>
      <c r="G472" s="8"/>
      <c r="H472" s="675"/>
      <c r="I472" s="675"/>
      <c r="J472" s="675"/>
      <c r="K472" s="675"/>
      <c r="L472" s="675"/>
      <c r="M472" s="675"/>
      <c r="N472" s="675"/>
      <c r="O472" s="675"/>
      <c r="P472" s="675"/>
      <c r="Q472" s="675"/>
      <c r="R472" s="675"/>
      <c r="S472" s="675"/>
      <c r="T472" s="675"/>
      <c r="U472" s="8"/>
      <c r="V472" s="8"/>
      <c r="W472" s="8"/>
      <c r="X472" s="8"/>
      <c r="Y472" s="8"/>
      <c r="Z472" s="8"/>
      <c r="AA472" s="8"/>
      <c r="AB472" s="8"/>
      <c r="AC472" s="8"/>
    </row>
    <row r="473" ht="12.75" customHeight="1" spans="1:29" x14ac:dyDescent="0.25">
      <c r="A473" s="8"/>
      <c r="B473" s="8"/>
      <c r="C473" s="8"/>
      <c r="D473" s="8"/>
      <c r="E473" s="8"/>
      <c r="F473" s="8"/>
      <c r="G473" s="8"/>
      <c r="H473" s="675"/>
      <c r="I473" s="675"/>
      <c r="J473" s="675"/>
      <c r="K473" s="675"/>
      <c r="L473" s="675"/>
      <c r="M473" s="675"/>
      <c r="N473" s="675"/>
      <c r="O473" s="675"/>
      <c r="P473" s="675"/>
      <c r="Q473" s="675"/>
      <c r="R473" s="675"/>
      <c r="S473" s="675"/>
      <c r="T473" s="675"/>
      <c r="U473" s="8"/>
      <c r="V473" s="8"/>
      <c r="W473" s="8"/>
      <c r="X473" s="8"/>
      <c r="Y473" s="8"/>
      <c r="Z473" s="8"/>
      <c r="AA473" s="8"/>
      <c r="AB473" s="8"/>
      <c r="AC473" s="8"/>
    </row>
    <row r="474" ht="12.75" customHeight="1" spans="1:29" x14ac:dyDescent="0.25">
      <c r="A474" s="8"/>
      <c r="B474" s="8"/>
      <c r="C474" s="8"/>
      <c r="D474" s="8"/>
      <c r="E474" s="8"/>
      <c r="F474" s="8"/>
      <c r="G474" s="8"/>
      <c r="H474" s="675"/>
      <c r="I474" s="675"/>
      <c r="J474" s="675"/>
      <c r="K474" s="675"/>
      <c r="L474" s="675"/>
      <c r="M474" s="675"/>
      <c r="N474" s="675"/>
      <c r="O474" s="675"/>
      <c r="P474" s="675"/>
      <c r="Q474" s="675"/>
      <c r="R474" s="675"/>
      <c r="S474" s="675"/>
      <c r="T474" s="675"/>
      <c r="U474" s="8"/>
      <c r="V474" s="8"/>
      <c r="W474" s="8"/>
      <c r="X474" s="8"/>
      <c r="Y474" s="8"/>
      <c r="Z474" s="8"/>
      <c r="AA474" s="8"/>
      <c r="AB474" s="8"/>
      <c r="AC474" s="8"/>
    </row>
    <row r="475" ht="12.75" customHeight="1" spans="1:29" x14ac:dyDescent="0.25">
      <c r="A475" s="8"/>
      <c r="B475" s="8"/>
      <c r="C475" s="8"/>
      <c r="D475" s="8"/>
      <c r="E475" s="8"/>
      <c r="F475" s="8"/>
      <c r="G475" s="8"/>
      <c r="H475" s="675"/>
      <c r="I475" s="675"/>
      <c r="J475" s="675"/>
      <c r="K475" s="675"/>
      <c r="L475" s="675"/>
      <c r="M475" s="675"/>
      <c r="N475" s="675"/>
      <c r="O475" s="675"/>
      <c r="P475" s="675"/>
      <c r="Q475" s="675"/>
      <c r="R475" s="675"/>
      <c r="S475" s="675"/>
      <c r="T475" s="675"/>
      <c r="U475" s="8"/>
      <c r="V475" s="8"/>
      <c r="W475" s="8"/>
      <c r="X475" s="8"/>
      <c r="Y475" s="8"/>
      <c r="Z475" s="8"/>
      <c r="AA475" s="8"/>
      <c r="AB475" s="8"/>
      <c r="AC475" s="8"/>
    </row>
    <row r="476" ht="12.75" customHeight="1" spans="1:29" x14ac:dyDescent="0.25">
      <c r="A476" s="8"/>
      <c r="B476" s="8"/>
      <c r="C476" s="8"/>
      <c r="D476" s="8"/>
      <c r="E476" s="8"/>
      <c r="F476" s="8"/>
      <c r="G476" s="8"/>
      <c r="H476" s="675"/>
      <c r="I476" s="675"/>
      <c r="J476" s="675"/>
      <c r="K476" s="675"/>
      <c r="L476" s="675"/>
      <c r="M476" s="675"/>
      <c r="N476" s="675"/>
      <c r="O476" s="675"/>
      <c r="P476" s="675"/>
      <c r="Q476" s="675"/>
      <c r="R476" s="675"/>
      <c r="S476" s="675"/>
      <c r="T476" s="675"/>
      <c r="U476" s="8"/>
      <c r="V476" s="8"/>
      <c r="W476" s="8"/>
      <c r="X476" s="8"/>
      <c r="Y476" s="8"/>
      <c r="Z476" s="8"/>
      <c r="AA476" s="8"/>
      <c r="AB476" s="8"/>
      <c r="AC476" s="8"/>
    </row>
    <row r="477" ht="12.75" customHeight="1" spans="1:29" x14ac:dyDescent="0.25">
      <c r="A477" s="8"/>
      <c r="B477" s="8"/>
      <c r="C477" s="8"/>
      <c r="D477" s="8"/>
      <c r="E477" s="8"/>
      <c r="F477" s="8"/>
      <c r="G477" s="8"/>
      <c r="H477" s="675"/>
      <c r="I477" s="675"/>
      <c r="J477" s="675"/>
      <c r="K477" s="675"/>
      <c r="L477" s="675"/>
      <c r="M477" s="675"/>
      <c r="N477" s="675"/>
      <c r="O477" s="675"/>
      <c r="P477" s="675"/>
      <c r="Q477" s="675"/>
      <c r="R477" s="675"/>
      <c r="S477" s="675"/>
      <c r="T477" s="675"/>
      <c r="U477" s="8"/>
      <c r="V477" s="8"/>
      <c r="W477" s="8"/>
      <c r="X477" s="8"/>
      <c r="Y477" s="8"/>
      <c r="Z477" s="8"/>
      <c r="AA477" s="8"/>
      <c r="AB477" s="8"/>
      <c r="AC477" s="8"/>
    </row>
    <row r="478" ht="12.75" customHeight="1" spans="1:29" x14ac:dyDescent="0.25">
      <c r="A478" s="8"/>
      <c r="B478" s="8"/>
      <c r="C478" s="8"/>
      <c r="D478" s="8"/>
      <c r="E478" s="8"/>
      <c r="F478" s="8"/>
      <c r="G478" s="8"/>
      <c r="H478" s="675"/>
      <c r="I478" s="675"/>
      <c r="J478" s="675"/>
      <c r="K478" s="675"/>
      <c r="L478" s="675"/>
      <c r="M478" s="675"/>
      <c r="N478" s="675"/>
      <c r="O478" s="675"/>
      <c r="P478" s="675"/>
      <c r="Q478" s="675"/>
      <c r="R478" s="675"/>
      <c r="S478" s="675"/>
      <c r="T478" s="675"/>
      <c r="U478" s="8"/>
      <c r="V478" s="8"/>
      <c r="W478" s="8"/>
      <c r="X478" s="8"/>
      <c r="Y478" s="8"/>
      <c r="Z478" s="8"/>
      <c r="AA478" s="8"/>
      <c r="AB478" s="8"/>
      <c r="AC478" s="8"/>
    </row>
    <row r="479" ht="12.75" customHeight="1" spans="1:29" x14ac:dyDescent="0.25">
      <c r="A479" s="8"/>
      <c r="B479" s="8"/>
      <c r="C479" s="8"/>
      <c r="D479" s="8"/>
      <c r="E479" s="8"/>
      <c r="F479" s="8"/>
      <c r="G479" s="8"/>
      <c r="H479" s="675"/>
      <c r="I479" s="675"/>
      <c r="J479" s="675"/>
      <c r="K479" s="675"/>
      <c r="L479" s="675"/>
      <c r="M479" s="675"/>
      <c r="N479" s="675"/>
      <c r="O479" s="675"/>
      <c r="P479" s="675"/>
      <c r="Q479" s="675"/>
      <c r="R479" s="675"/>
      <c r="S479" s="675"/>
      <c r="T479" s="675"/>
      <c r="U479" s="8"/>
      <c r="V479" s="8"/>
      <c r="W479" s="8"/>
      <c r="X479" s="8"/>
      <c r="Y479" s="8"/>
      <c r="Z479" s="8"/>
      <c r="AA479" s="8"/>
      <c r="AB479" s="8"/>
      <c r="AC479" s="8"/>
    </row>
    <row r="480" ht="12.75" customHeight="1" spans="1:29" x14ac:dyDescent="0.25">
      <c r="A480" s="8"/>
      <c r="B480" s="8"/>
      <c r="C480" s="8"/>
      <c r="D480" s="8"/>
      <c r="E480" s="8"/>
      <c r="F480" s="8"/>
      <c r="G480" s="8"/>
      <c r="H480" s="675"/>
      <c r="I480" s="675"/>
      <c r="J480" s="675"/>
      <c r="K480" s="675"/>
      <c r="L480" s="675"/>
      <c r="M480" s="675"/>
      <c r="N480" s="675"/>
      <c r="O480" s="675"/>
      <c r="P480" s="675"/>
      <c r="Q480" s="675"/>
      <c r="R480" s="675"/>
      <c r="S480" s="675"/>
      <c r="T480" s="675"/>
      <c r="U480" s="8"/>
      <c r="V480" s="8"/>
      <c r="W480" s="8"/>
      <c r="X480" s="8"/>
      <c r="Y480" s="8"/>
      <c r="Z480" s="8"/>
      <c r="AA480" s="8"/>
      <c r="AB480" s="8"/>
      <c r="AC480" s="8"/>
    </row>
    <row r="481" ht="12.75" customHeight="1" spans="1:29" x14ac:dyDescent="0.25">
      <c r="A481" s="8"/>
      <c r="B481" s="8"/>
      <c r="C481" s="8"/>
      <c r="D481" s="8"/>
      <c r="E481" s="8"/>
      <c r="F481" s="8"/>
      <c r="G481" s="8"/>
      <c r="H481" s="675"/>
      <c r="I481" s="675"/>
      <c r="J481" s="675"/>
      <c r="K481" s="675"/>
      <c r="L481" s="675"/>
      <c r="M481" s="675"/>
      <c r="N481" s="675"/>
      <c r="O481" s="675"/>
      <c r="P481" s="675"/>
      <c r="Q481" s="675"/>
      <c r="R481" s="675"/>
      <c r="S481" s="675"/>
      <c r="T481" s="675"/>
      <c r="U481" s="8"/>
      <c r="V481" s="8"/>
      <c r="W481" s="8"/>
      <c r="X481" s="8"/>
      <c r="Y481" s="8"/>
      <c r="Z481" s="8"/>
      <c r="AA481" s="8"/>
      <c r="AB481" s="8"/>
      <c r="AC481" s="8"/>
    </row>
    <row r="482" ht="12.75" customHeight="1" spans="1:29" x14ac:dyDescent="0.25">
      <c r="A482" s="8"/>
      <c r="B482" s="8"/>
      <c r="C482" s="8"/>
      <c r="D482" s="8"/>
      <c r="E482" s="8"/>
      <c r="F482" s="8"/>
      <c r="G482" s="8"/>
      <c r="H482" s="675"/>
      <c r="I482" s="675"/>
      <c r="J482" s="675"/>
      <c r="K482" s="675"/>
      <c r="L482" s="675"/>
      <c r="M482" s="675"/>
      <c r="N482" s="675"/>
      <c r="O482" s="675"/>
      <c r="P482" s="675"/>
      <c r="Q482" s="675"/>
      <c r="R482" s="675"/>
      <c r="S482" s="675"/>
      <c r="T482" s="675"/>
      <c r="U482" s="8"/>
      <c r="V482" s="8"/>
      <c r="W482" s="8"/>
      <c r="X482" s="8"/>
      <c r="Y482" s="8"/>
      <c r="Z482" s="8"/>
      <c r="AA482" s="8"/>
      <c r="AB482" s="8"/>
      <c r="AC482" s="8"/>
    </row>
    <row r="483" ht="12.75" customHeight="1" spans="1:29" x14ac:dyDescent="0.25">
      <c r="A483" s="8"/>
      <c r="B483" s="8"/>
      <c r="C483" s="8"/>
      <c r="D483" s="8"/>
      <c r="E483" s="8"/>
      <c r="F483" s="8"/>
      <c r="G483" s="8"/>
      <c r="H483" s="675"/>
      <c r="I483" s="675"/>
      <c r="J483" s="675"/>
      <c r="K483" s="675"/>
      <c r="L483" s="675"/>
      <c r="M483" s="675"/>
      <c r="N483" s="675"/>
      <c r="O483" s="675"/>
      <c r="P483" s="675"/>
      <c r="Q483" s="675"/>
      <c r="R483" s="675"/>
      <c r="S483" s="675"/>
      <c r="T483" s="675"/>
      <c r="U483" s="8"/>
      <c r="V483" s="8"/>
      <c r="W483" s="8"/>
      <c r="X483" s="8"/>
      <c r="Y483" s="8"/>
      <c r="Z483" s="8"/>
      <c r="AA483" s="8"/>
      <c r="AB483" s="8"/>
      <c r="AC483" s="8"/>
    </row>
    <row r="484" ht="12.75" customHeight="1" spans="1:29" x14ac:dyDescent="0.25">
      <c r="A484" s="8"/>
      <c r="B484" s="8"/>
      <c r="C484" s="8"/>
      <c r="D484" s="8"/>
      <c r="E484" s="8"/>
      <c r="F484" s="8"/>
      <c r="G484" s="8"/>
      <c r="H484" s="675"/>
      <c r="I484" s="675"/>
      <c r="J484" s="675"/>
      <c r="K484" s="675"/>
      <c r="L484" s="675"/>
      <c r="M484" s="675"/>
      <c r="N484" s="675"/>
      <c r="O484" s="675"/>
      <c r="P484" s="675"/>
      <c r="Q484" s="675"/>
      <c r="R484" s="675"/>
      <c r="S484" s="675"/>
      <c r="T484" s="675"/>
      <c r="U484" s="8"/>
      <c r="V484" s="8"/>
      <c r="W484" s="8"/>
      <c r="X484" s="8"/>
      <c r="Y484" s="8"/>
      <c r="Z484" s="8"/>
      <c r="AA484" s="8"/>
      <c r="AB484" s="8"/>
      <c r="AC484" s="8"/>
    </row>
    <row r="485" ht="12.75" customHeight="1" spans="1:29" x14ac:dyDescent="0.25">
      <c r="A485" s="8"/>
      <c r="B485" s="8"/>
      <c r="C485" s="8"/>
      <c r="D485" s="8"/>
      <c r="E485" s="8"/>
      <c r="F485" s="8"/>
      <c r="G485" s="8"/>
      <c r="H485" s="675"/>
      <c r="I485" s="675"/>
      <c r="J485" s="675"/>
      <c r="K485" s="675"/>
      <c r="L485" s="675"/>
      <c r="M485" s="675"/>
      <c r="N485" s="675"/>
      <c r="O485" s="675"/>
      <c r="P485" s="675"/>
      <c r="Q485" s="675"/>
      <c r="R485" s="675"/>
      <c r="S485" s="675"/>
      <c r="T485" s="675"/>
      <c r="U485" s="8"/>
      <c r="V485" s="8"/>
      <c r="W485" s="8"/>
      <c r="X485" s="8"/>
      <c r="Y485" s="8"/>
      <c r="Z485" s="8"/>
      <c r="AA485" s="8"/>
      <c r="AB485" s="8"/>
      <c r="AC485" s="8"/>
    </row>
    <row r="486" ht="12.75" customHeight="1" spans="1:29" x14ac:dyDescent="0.25">
      <c r="A486" s="8"/>
      <c r="B486" s="8"/>
      <c r="C486" s="8"/>
      <c r="D486" s="8"/>
      <c r="E486" s="8"/>
      <c r="F486" s="8"/>
      <c r="G486" s="8"/>
      <c r="H486" s="675"/>
      <c r="I486" s="675"/>
      <c r="J486" s="675"/>
      <c r="K486" s="675"/>
      <c r="L486" s="675"/>
      <c r="M486" s="675"/>
      <c r="N486" s="675"/>
      <c r="O486" s="675"/>
      <c r="P486" s="675"/>
      <c r="Q486" s="675"/>
      <c r="R486" s="675"/>
      <c r="S486" s="675"/>
      <c r="T486" s="675"/>
      <c r="U486" s="8"/>
      <c r="V486" s="8"/>
      <c r="W486" s="8"/>
      <c r="X486" s="8"/>
      <c r="Y486" s="8"/>
      <c r="Z486" s="8"/>
      <c r="AA486" s="8"/>
      <c r="AB486" s="8"/>
      <c r="AC486" s="8"/>
    </row>
    <row r="487" ht="12.75" customHeight="1" spans="1:29" x14ac:dyDescent="0.25">
      <c r="A487" s="8"/>
      <c r="B487" s="8"/>
      <c r="C487" s="8"/>
      <c r="D487" s="8"/>
      <c r="E487" s="8"/>
      <c r="F487" s="8"/>
      <c r="G487" s="8"/>
      <c r="H487" s="675"/>
      <c r="I487" s="675"/>
      <c r="J487" s="675"/>
      <c r="K487" s="675"/>
      <c r="L487" s="675"/>
      <c r="M487" s="675"/>
      <c r="N487" s="675"/>
      <c r="O487" s="675"/>
      <c r="P487" s="675"/>
      <c r="Q487" s="675"/>
      <c r="R487" s="675"/>
      <c r="S487" s="675"/>
      <c r="T487" s="675"/>
      <c r="U487" s="8"/>
      <c r="V487" s="8"/>
      <c r="W487" s="8"/>
      <c r="X487" s="8"/>
      <c r="Y487" s="8"/>
      <c r="Z487" s="8"/>
      <c r="AA487" s="8"/>
      <c r="AB487" s="8"/>
      <c r="AC487" s="8"/>
    </row>
    <row r="488" ht="12.75" customHeight="1" spans="1:29" x14ac:dyDescent="0.25">
      <c r="A488" s="8"/>
      <c r="B488" s="8"/>
      <c r="C488" s="8"/>
      <c r="D488" s="8"/>
      <c r="E488" s="8"/>
      <c r="F488" s="8"/>
      <c r="G488" s="8"/>
      <c r="H488" s="675"/>
      <c r="I488" s="675"/>
      <c r="J488" s="675"/>
      <c r="K488" s="675"/>
      <c r="L488" s="675"/>
      <c r="M488" s="675"/>
      <c r="N488" s="675"/>
      <c r="O488" s="675"/>
      <c r="P488" s="675"/>
      <c r="Q488" s="675"/>
      <c r="R488" s="675"/>
      <c r="S488" s="675"/>
      <c r="T488" s="675"/>
      <c r="U488" s="8"/>
      <c r="V488" s="8"/>
      <c r="W488" s="8"/>
      <c r="X488" s="8"/>
      <c r="Y488" s="8"/>
      <c r="Z488" s="8"/>
      <c r="AA488" s="8"/>
      <c r="AB488" s="8"/>
      <c r="AC488" s="8"/>
    </row>
    <row r="489" ht="12.75" customHeight="1" spans="1:29" x14ac:dyDescent="0.25">
      <c r="A489" s="8"/>
      <c r="B489" s="8"/>
      <c r="C489" s="8"/>
      <c r="D489" s="8"/>
      <c r="E489" s="8"/>
      <c r="F489" s="8"/>
      <c r="G489" s="8"/>
      <c r="H489" s="675"/>
      <c r="I489" s="675"/>
      <c r="J489" s="675"/>
      <c r="K489" s="675"/>
      <c r="L489" s="675"/>
      <c r="M489" s="675"/>
      <c r="N489" s="675"/>
      <c r="O489" s="675"/>
      <c r="P489" s="675"/>
      <c r="Q489" s="675"/>
      <c r="R489" s="675"/>
      <c r="S489" s="675"/>
      <c r="T489" s="675"/>
      <c r="U489" s="8"/>
      <c r="V489" s="8"/>
      <c r="W489" s="8"/>
      <c r="X489" s="8"/>
      <c r="Y489" s="8"/>
      <c r="Z489" s="8"/>
      <c r="AA489" s="8"/>
      <c r="AB489" s="8"/>
      <c r="AC489" s="8"/>
    </row>
    <row r="490" ht="12.75" customHeight="1" spans="1:29" x14ac:dyDescent="0.25">
      <c r="A490" s="8"/>
      <c r="B490" s="8"/>
      <c r="C490" s="8"/>
      <c r="D490" s="8"/>
      <c r="E490" s="8"/>
      <c r="F490" s="8"/>
      <c r="G490" s="8"/>
      <c r="H490" s="675"/>
      <c r="I490" s="675"/>
      <c r="J490" s="675"/>
      <c r="K490" s="675"/>
      <c r="L490" s="675"/>
      <c r="M490" s="675"/>
      <c r="N490" s="675"/>
      <c r="O490" s="675"/>
      <c r="P490" s="675"/>
      <c r="Q490" s="675"/>
      <c r="R490" s="675"/>
      <c r="S490" s="675"/>
      <c r="T490" s="675"/>
      <c r="U490" s="8"/>
      <c r="V490" s="8"/>
      <c r="W490" s="8"/>
      <c r="X490" s="8"/>
      <c r="Y490" s="8"/>
      <c r="Z490" s="8"/>
      <c r="AA490" s="8"/>
      <c r="AB490" s="8"/>
      <c r="AC490" s="8"/>
    </row>
    <row r="491" ht="12.75" customHeight="1" spans="1:29" x14ac:dyDescent="0.25">
      <c r="A491" s="8"/>
      <c r="B491" s="8"/>
      <c r="C491" s="8"/>
      <c r="D491" s="8"/>
      <c r="E491" s="8"/>
      <c r="F491" s="8"/>
      <c r="G491" s="8"/>
      <c r="H491" s="675"/>
      <c r="I491" s="675"/>
      <c r="J491" s="675"/>
      <c r="K491" s="675"/>
      <c r="L491" s="675"/>
      <c r="M491" s="675"/>
      <c r="N491" s="675"/>
      <c r="O491" s="675"/>
      <c r="P491" s="675"/>
      <c r="Q491" s="675"/>
      <c r="R491" s="675"/>
      <c r="S491" s="675"/>
      <c r="T491" s="675"/>
      <c r="U491" s="8"/>
      <c r="V491" s="8"/>
      <c r="W491" s="8"/>
      <c r="X491" s="8"/>
      <c r="Y491" s="8"/>
      <c r="Z491" s="8"/>
      <c r="AA491" s="8"/>
      <c r="AB491" s="8"/>
      <c r="AC491" s="8"/>
    </row>
    <row r="492" ht="12.75" customHeight="1" spans="1:29" x14ac:dyDescent="0.25">
      <c r="A492" s="8"/>
      <c r="B492" s="8"/>
      <c r="C492" s="8"/>
      <c r="D492" s="8"/>
      <c r="E492" s="8"/>
      <c r="F492" s="8"/>
      <c r="G492" s="8"/>
      <c r="H492" s="675"/>
      <c r="I492" s="675"/>
      <c r="J492" s="675"/>
      <c r="K492" s="675"/>
      <c r="L492" s="675"/>
      <c r="M492" s="675"/>
      <c r="N492" s="675"/>
      <c r="O492" s="675"/>
      <c r="P492" s="675"/>
      <c r="Q492" s="675"/>
      <c r="R492" s="675"/>
      <c r="S492" s="675"/>
      <c r="T492" s="675"/>
      <c r="U492" s="8"/>
      <c r="V492" s="8"/>
      <c r="W492" s="8"/>
      <c r="X492" s="8"/>
      <c r="Y492" s="8"/>
      <c r="Z492" s="8"/>
      <c r="AA492" s="8"/>
      <c r="AB492" s="8"/>
      <c r="AC492" s="8"/>
    </row>
    <row r="493" ht="12.75" customHeight="1" spans="1:29" x14ac:dyDescent="0.25">
      <c r="A493" s="8"/>
      <c r="B493" s="8"/>
      <c r="C493" s="8"/>
      <c r="D493" s="8"/>
      <c r="E493" s="8"/>
      <c r="F493" s="8"/>
      <c r="G493" s="8"/>
      <c r="H493" s="675"/>
      <c r="I493" s="675"/>
      <c r="J493" s="675"/>
      <c r="K493" s="675"/>
      <c r="L493" s="675"/>
      <c r="M493" s="675"/>
      <c r="N493" s="675"/>
      <c r="O493" s="675"/>
      <c r="P493" s="675"/>
      <c r="Q493" s="675"/>
      <c r="R493" s="675"/>
      <c r="S493" s="675"/>
      <c r="T493" s="675"/>
      <c r="U493" s="8"/>
      <c r="V493" s="8"/>
      <c r="W493" s="8"/>
      <c r="X493" s="8"/>
      <c r="Y493" s="8"/>
      <c r="Z493" s="8"/>
      <c r="AA493" s="8"/>
      <c r="AB493" s="8"/>
      <c r="AC493" s="8"/>
    </row>
    <row r="494" ht="12.75" customHeight="1" spans="1:29" x14ac:dyDescent="0.25">
      <c r="A494" s="8"/>
      <c r="B494" s="8"/>
      <c r="C494" s="8"/>
      <c r="D494" s="8"/>
      <c r="E494" s="8"/>
      <c r="F494" s="8"/>
      <c r="G494" s="8"/>
      <c r="H494" s="675"/>
      <c r="I494" s="675"/>
      <c r="J494" s="675"/>
      <c r="K494" s="675"/>
      <c r="L494" s="675"/>
      <c r="M494" s="675"/>
      <c r="N494" s="675"/>
      <c r="O494" s="675"/>
      <c r="P494" s="675"/>
      <c r="Q494" s="675"/>
      <c r="R494" s="675"/>
      <c r="S494" s="675"/>
      <c r="T494" s="675"/>
      <c r="U494" s="8"/>
      <c r="V494" s="8"/>
      <c r="W494" s="8"/>
      <c r="X494" s="8"/>
      <c r="Y494" s="8"/>
      <c r="Z494" s="8"/>
      <c r="AA494" s="8"/>
      <c r="AB494" s="8"/>
      <c r="AC494" s="8"/>
    </row>
    <row r="495" ht="12.75" customHeight="1" spans="1:29" x14ac:dyDescent="0.25">
      <c r="A495" s="8"/>
      <c r="B495" s="8"/>
      <c r="C495" s="8"/>
      <c r="D495" s="8"/>
      <c r="E495" s="8"/>
      <c r="F495" s="8"/>
      <c r="G495" s="8"/>
      <c r="H495" s="675"/>
      <c r="I495" s="675"/>
      <c r="J495" s="675"/>
      <c r="K495" s="675"/>
      <c r="L495" s="675"/>
      <c r="M495" s="675"/>
      <c r="N495" s="675"/>
      <c r="O495" s="675"/>
      <c r="P495" s="675"/>
      <c r="Q495" s="675"/>
      <c r="R495" s="675"/>
      <c r="S495" s="675"/>
      <c r="T495" s="675"/>
      <c r="U495" s="8"/>
      <c r="V495" s="8"/>
      <c r="W495" s="8"/>
      <c r="X495" s="8"/>
      <c r="Y495" s="8"/>
      <c r="Z495" s="8"/>
      <c r="AA495" s="8"/>
      <c r="AB495" s="8"/>
      <c r="AC495" s="8"/>
    </row>
    <row r="496" ht="12.75" customHeight="1" spans="1:29" x14ac:dyDescent="0.25">
      <c r="A496" s="8"/>
      <c r="B496" s="8"/>
      <c r="C496" s="8"/>
      <c r="D496" s="8"/>
      <c r="E496" s="8"/>
      <c r="F496" s="8"/>
      <c r="G496" s="8"/>
      <c r="H496" s="675"/>
      <c r="I496" s="675"/>
      <c r="J496" s="675"/>
      <c r="K496" s="675"/>
      <c r="L496" s="675"/>
      <c r="M496" s="675"/>
      <c r="N496" s="675"/>
      <c r="O496" s="675"/>
      <c r="P496" s="675"/>
      <c r="Q496" s="675"/>
      <c r="R496" s="675"/>
      <c r="S496" s="675"/>
      <c r="T496" s="675"/>
      <c r="U496" s="8"/>
      <c r="V496" s="8"/>
      <c r="W496" s="8"/>
      <c r="X496" s="8"/>
      <c r="Y496" s="8"/>
      <c r="Z496" s="8"/>
      <c r="AA496" s="8"/>
      <c r="AB496" s="8"/>
      <c r="AC496" s="8"/>
    </row>
    <row r="497" ht="12.75" customHeight="1" spans="1:29" x14ac:dyDescent="0.25">
      <c r="A497" s="8"/>
      <c r="B497" s="8"/>
      <c r="C497" s="8"/>
      <c r="D497" s="8"/>
      <c r="E497" s="8"/>
      <c r="F497" s="8"/>
      <c r="G497" s="8"/>
      <c r="H497" s="675"/>
      <c r="I497" s="675"/>
      <c r="J497" s="675"/>
      <c r="K497" s="675"/>
      <c r="L497" s="675"/>
      <c r="M497" s="675"/>
      <c r="N497" s="675"/>
      <c r="O497" s="675"/>
      <c r="P497" s="675"/>
      <c r="Q497" s="675"/>
      <c r="R497" s="675"/>
      <c r="S497" s="675"/>
      <c r="T497" s="675"/>
      <c r="U497" s="8"/>
      <c r="V497" s="8"/>
      <c r="W497" s="8"/>
      <c r="X497" s="8"/>
      <c r="Y497" s="8"/>
      <c r="Z497" s="8"/>
      <c r="AA497" s="8"/>
      <c r="AB497" s="8"/>
      <c r="AC497" s="8"/>
    </row>
    <row r="498" ht="12.75" customHeight="1" spans="1:29" x14ac:dyDescent="0.25">
      <c r="A498" s="8"/>
      <c r="B498" s="8"/>
      <c r="C498" s="8"/>
      <c r="D498" s="8"/>
      <c r="E498" s="8"/>
      <c r="F498" s="8"/>
      <c r="G498" s="8"/>
      <c r="H498" s="675"/>
      <c r="I498" s="675"/>
      <c r="J498" s="675"/>
      <c r="K498" s="675"/>
      <c r="L498" s="675"/>
      <c r="M498" s="675"/>
      <c r="N498" s="675"/>
      <c r="O498" s="675"/>
      <c r="P498" s="675"/>
      <c r="Q498" s="675"/>
      <c r="R498" s="675"/>
      <c r="S498" s="675"/>
      <c r="T498" s="675"/>
      <c r="U498" s="8"/>
      <c r="V498" s="8"/>
      <c r="W498" s="8"/>
      <c r="X498" s="8"/>
      <c r="Y498" s="8"/>
      <c r="Z498" s="8"/>
      <c r="AA498" s="8"/>
      <c r="AB498" s="8"/>
      <c r="AC498" s="8"/>
    </row>
    <row r="499" ht="12.75" customHeight="1" spans="1:29" x14ac:dyDescent="0.25">
      <c r="A499" s="8"/>
      <c r="B499" s="8"/>
      <c r="C499" s="8"/>
      <c r="D499" s="8"/>
      <c r="E499" s="8"/>
      <c r="F499" s="8"/>
      <c r="G499" s="8"/>
      <c r="H499" s="675"/>
      <c r="I499" s="675"/>
      <c r="J499" s="675"/>
      <c r="K499" s="675"/>
      <c r="L499" s="675"/>
      <c r="M499" s="675"/>
      <c r="N499" s="675"/>
      <c r="O499" s="675"/>
      <c r="P499" s="675"/>
      <c r="Q499" s="675"/>
      <c r="R499" s="675"/>
      <c r="S499" s="675"/>
      <c r="T499" s="675"/>
      <c r="U499" s="8"/>
      <c r="V499" s="8"/>
      <c r="W499" s="8"/>
      <c r="X499" s="8"/>
      <c r="Y499" s="8"/>
      <c r="Z499" s="8"/>
      <c r="AA499" s="8"/>
      <c r="AB499" s="8"/>
      <c r="AC499" s="8"/>
    </row>
    <row r="500" ht="12.75" customHeight="1" spans="1:29" x14ac:dyDescent="0.25">
      <c r="A500" s="8"/>
      <c r="B500" s="8"/>
      <c r="C500" s="8"/>
      <c r="D500" s="8"/>
      <c r="E500" s="8"/>
      <c r="F500" s="8"/>
      <c r="G500" s="8"/>
      <c r="H500" s="675"/>
      <c r="I500" s="675"/>
      <c r="J500" s="675"/>
      <c r="K500" s="675"/>
      <c r="L500" s="675"/>
      <c r="M500" s="675"/>
      <c r="N500" s="675"/>
      <c r="O500" s="675"/>
      <c r="P500" s="675"/>
      <c r="Q500" s="675"/>
      <c r="R500" s="675"/>
      <c r="S500" s="675"/>
      <c r="T500" s="675"/>
      <c r="U500" s="8"/>
      <c r="V500" s="8"/>
      <c r="W500" s="8"/>
      <c r="X500" s="8"/>
      <c r="Y500" s="8"/>
      <c r="Z500" s="8"/>
      <c r="AA500" s="8"/>
      <c r="AB500" s="8"/>
      <c r="AC500" s="8"/>
    </row>
    <row r="501" ht="12.75" customHeight="1" spans="1:29" x14ac:dyDescent="0.25">
      <c r="A501" s="8"/>
      <c r="B501" s="8"/>
      <c r="C501" s="8"/>
      <c r="D501" s="8"/>
      <c r="E501" s="8"/>
      <c r="F501" s="8"/>
      <c r="G501" s="8"/>
      <c r="H501" s="675"/>
      <c r="I501" s="675"/>
      <c r="J501" s="675"/>
      <c r="K501" s="675"/>
      <c r="L501" s="675"/>
      <c r="M501" s="675"/>
      <c r="N501" s="675"/>
      <c r="O501" s="675"/>
      <c r="P501" s="675"/>
      <c r="Q501" s="675"/>
      <c r="R501" s="675"/>
      <c r="S501" s="675"/>
      <c r="T501" s="675"/>
      <c r="U501" s="8"/>
      <c r="V501" s="8"/>
      <c r="W501" s="8"/>
      <c r="X501" s="8"/>
      <c r="Y501" s="8"/>
      <c r="Z501" s="8"/>
      <c r="AA501" s="8"/>
      <c r="AB501" s="8"/>
      <c r="AC501" s="8"/>
    </row>
    <row r="502" ht="12.75" customHeight="1" spans="1:29" x14ac:dyDescent="0.25">
      <c r="A502" s="8"/>
      <c r="B502" s="8"/>
      <c r="C502" s="8"/>
      <c r="D502" s="8"/>
      <c r="E502" s="8"/>
      <c r="F502" s="8"/>
      <c r="G502" s="8"/>
      <c r="H502" s="675"/>
      <c r="I502" s="675"/>
      <c r="J502" s="675"/>
      <c r="K502" s="675"/>
      <c r="L502" s="675"/>
      <c r="M502" s="675"/>
      <c r="N502" s="675"/>
      <c r="O502" s="675"/>
      <c r="P502" s="675"/>
      <c r="Q502" s="675"/>
      <c r="R502" s="675"/>
      <c r="S502" s="675"/>
      <c r="T502" s="675"/>
      <c r="U502" s="8"/>
      <c r="V502" s="8"/>
      <c r="W502" s="8"/>
      <c r="X502" s="8"/>
      <c r="Y502" s="8"/>
      <c r="Z502" s="8"/>
      <c r="AA502" s="8"/>
      <c r="AB502" s="8"/>
      <c r="AC502" s="8"/>
    </row>
    <row r="503" ht="12.75" customHeight="1" spans="1:29" x14ac:dyDescent="0.25">
      <c r="A503" s="8"/>
      <c r="B503" s="8"/>
      <c r="C503" s="8"/>
      <c r="D503" s="8"/>
      <c r="E503" s="8"/>
      <c r="F503" s="8"/>
      <c r="G503" s="8"/>
      <c r="H503" s="675"/>
      <c r="I503" s="675"/>
      <c r="J503" s="675"/>
      <c r="K503" s="675"/>
      <c r="L503" s="675"/>
      <c r="M503" s="675"/>
      <c r="N503" s="675"/>
      <c r="O503" s="675"/>
      <c r="P503" s="675"/>
      <c r="Q503" s="675"/>
      <c r="R503" s="675"/>
      <c r="S503" s="675"/>
      <c r="T503" s="675"/>
      <c r="U503" s="8"/>
      <c r="V503" s="8"/>
      <c r="W503" s="8"/>
      <c r="X503" s="8"/>
      <c r="Y503" s="8"/>
      <c r="Z503" s="8"/>
      <c r="AA503" s="8"/>
      <c r="AB503" s="8"/>
      <c r="AC503" s="8"/>
    </row>
    <row r="504" ht="12.75" customHeight="1" spans="1:29" x14ac:dyDescent="0.25">
      <c r="A504" s="8"/>
      <c r="B504" s="8"/>
      <c r="C504" s="8"/>
      <c r="D504" s="8"/>
      <c r="E504" s="8"/>
      <c r="F504" s="8"/>
      <c r="G504" s="8"/>
      <c r="H504" s="675"/>
      <c r="I504" s="675"/>
      <c r="J504" s="675"/>
      <c r="K504" s="675"/>
      <c r="L504" s="675"/>
      <c r="M504" s="675"/>
      <c r="N504" s="675"/>
      <c r="O504" s="675"/>
      <c r="P504" s="675"/>
      <c r="Q504" s="675"/>
      <c r="R504" s="675"/>
      <c r="S504" s="675"/>
      <c r="T504" s="675"/>
      <c r="U504" s="8"/>
      <c r="V504" s="8"/>
      <c r="W504" s="8"/>
      <c r="X504" s="8"/>
      <c r="Y504" s="8"/>
      <c r="Z504" s="8"/>
      <c r="AA504" s="8"/>
      <c r="AB504" s="8"/>
      <c r="AC504" s="8"/>
    </row>
    <row r="505" ht="12.75" customHeight="1" spans="1:29" x14ac:dyDescent="0.25">
      <c r="A505" s="8"/>
      <c r="B505" s="8"/>
      <c r="C505" s="8"/>
      <c r="D505" s="8"/>
      <c r="E505" s="8"/>
      <c r="F505" s="8"/>
      <c r="G505" s="8"/>
      <c r="H505" s="675"/>
      <c r="I505" s="675"/>
      <c r="J505" s="675"/>
      <c r="K505" s="675"/>
      <c r="L505" s="675"/>
      <c r="M505" s="675"/>
      <c r="N505" s="675"/>
      <c r="O505" s="675"/>
      <c r="P505" s="675"/>
      <c r="Q505" s="675"/>
      <c r="R505" s="675"/>
      <c r="S505" s="675"/>
      <c r="T505" s="675"/>
      <c r="U505" s="8"/>
      <c r="V505" s="8"/>
      <c r="W505" s="8"/>
      <c r="X505" s="8"/>
      <c r="Y505" s="8"/>
      <c r="Z505" s="8"/>
      <c r="AA505" s="8"/>
      <c r="AB505" s="8"/>
      <c r="AC505" s="8"/>
    </row>
    <row r="506" ht="12.75" customHeight="1" spans="1:29" x14ac:dyDescent="0.25">
      <c r="A506" s="8"/>
      <c r="B506" s="8"/>
      <c r="C506" s="8"/>
      <c r="D506" s="8"/>
      <c r="E506" s="8"/>
      <c r="F506" s="8"/>
      <c r="G506" s="8"/>
      <c r="H506" s="675"/>
      <c r="I506" s="675"/>
      <c r="J506" s="675"/>
      <c r="K506" s="675"/>
      <c r="L506" s="675"/>
      <c r="M506" s="675"/>
      <c r="N506" s="675"/>
      <c r="O506" s="675"/>
      <c r="P506" s="675"/>
      <c r="Q506" s="675"/>
      <c r="R506" s="675"/>
      <c r="S506" s="675"/>
      <c r="T506" s="675"/>
      <c r="U506" s="8"/>
      <c r="V506" s="8"/>
      <c r="W506" s="8"/>
      <c r="X506" s="8"/>
      <c r="Y506" s="8"/>
      <c r="Z506" s="8"/>
      <c r="AA506" s="8"/>
      <c r="AB506" s="8"/>
      <c r="AC506" s="8"/>
    </row>
    <row r="507" ht="12.75" customHeight="1" spans="1:29" x14ac:dyDescent="0.25">
      <c r="A507" s="8"/>
      <c r="B507" s="8"/>
      <c r="C507" s="8"/>
      <c r="D507" s="8"/>
      <c r="E507" s="8"/>
      <c r="F507" s="8"/>
      <c r="G507" s="8"/>
      <c r="H507" s="675"/>
      <c r="I507" s="675"/>
      <c r="J507" s="675"/>
      <c r="K507" s="675"/>
      <c r="L507" s="675"/>
      <c r="M507" s="675"/>
      <c r="N507" s="675"/>
      <c r="O507" s="675"/>
      <c r="P507" s="675"/>
      <c r="Q507" s="675"/>
      <c r="R507" s="675"/>
      <c r="S507" s="675"/>
      <c r="T507" s="675"/>
      <c r="U507" s="8"/>
      <c r="V507" s="8"/>
      <c r="W507" s="8"/>
      <c r="X507" s="8"/>
      <c r="Y507" s="8"/>
      <c r="Z507" s="8"/>
      <c r="AA507" s="8"/>
      <c r="AB507" s="8"/>
      <c r="AC507" s="8"/>
    </row>
    <row r="508" ht="12.75" customHeight="1" spans="1:29" x14ac:dyDescent="0.25">
      <c r="A508" s="8"/>
      <c r="B508" s="8"/>
      <c r="C508" s="8"/>
      <c r="D508" s="8"/>
      <c r="E508" s="8"/>
      <c r="F508" s="8"/>
      <c r="G508" s="8"/>
      <c r="H508" s="675"/>
      <c r="I508" s="675"/>
      <c r="J508" s="675"/>
      <c r="K508" s="675"/>
      <c r="L508" s="675"/>
      <c r="M508" s="675"/>
      <c r="N508" s="675"/>
      <c r="O508" s="675"/>
      <c r="P508" s="675"/>
      <c r="Q508" s="675"/>
      <c r="R508" s="675"/>
      <c r="S508" s="675"/>
      <c r="T508" s="675"/>
      <c r="U508" s="8"/>
      <c r="V508" s="8"/>
      <c r="W508" s="8"/>
      <c r="X508" s="8"/>
      <c r="Y508" s="8"/>
      <c r="Z508" s="8"/>
      <c r="AA508" s="8"/>
      <c r="AB508" s="8"/>
      <c r="AC508" s="8"/>
    </row>
    <row r="509" ht="12.75" customHeight="1" spans="1:29" x14ac:dyDescent="0.25">
      <c r="A509" s="8"/>
      <c r="B509" s="8"/>
      <c r="C509" s="8"/>
      <c r="D509" s="8"/>
      <c r="E509" s="8"/>
      <c r="F509" s="8"/>
      <c r="G509" s="8"/>
      <c r="H509" s="675"/>
      <c r="I509" s="675"/>
      <c r="J509" s="675"/>
      <c r="K509" s="675"/>
      <c r="L509" s="675"/>
      <c r="M509" s="675"/>
      <c r="N509" s="675"/>
      <c r="O509" s="675"/>
      <c r="P509" s="675"/>
      <c r="Q509" s="675"/>
      <c r="R509" s="675"/>
      <c r="S509" s="675"/>
      <c r="T509" s="675"/>
      <c r="U509" s="8"/>
      <c r="V509" s="8"/>
      <c r="W509" s="8"/>
      <c r="X509" s="8"/>
      <c r="Y509" s="8"/>
      <c r="Z509" s="8"/>
      <c r="AA509" s="8"/>
      <c r="AB509" s="8"/>
      <c r="AC509" s="8"/>
    </row>
    <row r="510" ht="12.75" customHeight="1" spans="1:29" x14ac:dyDescent="0.25">
      <c r="A510" s="8"/>
      <c r="B510" s="8"/>
      <c r="C510" s="8"/>
      <c r="D510" s="8"/>
      <c r="E510" s="8"/>
      <c r="F510" s="8"/>
      <c r="G510" s="8"/>
      <c r="H510" s="675"/>
      <c r="I510" s="675"/>
      <c r="J510" s="675"/>
      <c r="K510" s="675"/>
      <c r="L510" s="675"/>
      <c r="M510" s="675"/>
      <c r="N510" s="675"/>
      <c r="O510" s="675"/>
      <c r="P510" s="675"/>
      <c r="Q510" s="675"/>
      <c r="R510" s="675"/>
      <c r="S510" s="675"/>
      <c r="T510" s="675"/>
      <c r="U510" s="8"/>
      <c r="V510" s="8"/>
      <c r="W510" s="8"/>
      <c r="X510" s="8"/>
      <c r="Y510" s="8"/>
      <c r="Z510" s="8"/>
      <c r="AA510" s="8"/>
      <c r="AB510" s="8"/>
      <c r="AC510" s="8"/>
    </row>
    <row r="511" ht="12.75" customHeight="1" spans="1:29" x14ac:dyDescent="0.25">
      <c r="A511" s="8"/>
      <c r="B511" s="8"/>
      <c r="C511" s="8"/>
      <c r="D511" s="8"/>
      <c r="E511" s="8"/>
      <c r="F511" s="8"/>
      <c r="G511" s="8"/>
      <c r="H511" s="675"/>
      <c r="I511" s="675"/>
      <c r="J511" s="675"/>
      <c r="K511" s="675"/>
      <c r="L511" s="675"/>
      <c r="M511" s="675"/>
      <c r="N511" s="675"/>
      <c r="O511" s="675"/>
      <c r="P511" s="675"/>
      <c r="Q511" s="675"/>
      <c r="R511" s="675"/>
      <c r="S511" s="675"/>
      <c r="T511" s="675"/>
      <c r="U511" s="8"/>
      <c r="V511" s="8"/>
      <c r="W511" s="8"/>
      <c r="X511" s="8"/>
      <c r="Y511" s="8"/>
      <c r="Z511" s="8"/>
      <c r="AA511" s="8"/>
      <c r="AB511" s="8"/>
      <c r="AC511" s="8"/>
    </row>
    <row r="512" ht="12.75" customHeight="1" spans="1:29" x14ac:dyDescent="0.25">
      <c r="A512" s="8"/>
      <c r="B512" s="8"/>
      <c r="C512" s="8"/>
      <c r="D512" s="8"/>
      <c r="E512" s="8"/>
      <c r="F512" s="8"/>
      <c r="G512" s="8"/>
      <c r="H512" s="675"/>
      <c r="I512" s="675"/>
      <c r="J512" s="675"/>
      <c r="K512" s="675"/>
      <c r="L512" s="675"/>
      <c r="M512" s="675"/>
      <c r="N512" s="675"/>
      <c r="O512" s="675"/>
      <c r="P512" s="675"/>
      <c r="Q512" s="675"/>
      <c r="R512" s="675"/>
      <c r="S512" s="675"/>
      <c r="T512" s="675"/>
      <c r="U512" s="8"/>
      <c r="V512" s="8"/>
      <c r="W512" s="8"/>
      <c r="X512" s="8"/>
      <c r="Y512" s="8"/>
      <c r="Z512" s="8"/>
      <c r="AA512" s="8"/>
      <c r="AB512" s="8"/>
      <c r="AC512" s="8"/>
    </row>
    <row r="513" ht="12.75" customHeight="1" spans="1:29" x14ac:dyDescent="0.25">
      <c r="A513" s="8"/>
      <c r="B513" s="8"/>
      <c r="C513" s="8"/>
      <c r="D513" s="8"/>
      <c r="E513" s="8"/>
      <c r="F513" s="8"/>
      <c r="G513" s="8"/>
      <c r="H513" s="675"/>
      <c r="I513" s="675"/>
      <c r="J513" s="675"/>
      <c r="K513" s="675"/>
      <c r="L513" s="675"/>
      <c r="M513" s="675"/>
      <c r="N513" s="675"/>
      <c r="O513" s="675"/>
      <c r="P513" s="675"/>
      <c r="Q513" s="675"/>
      <c r="R513" s="675"/>
      <c r="S513" s="675"/>
      <c r="T513" s="675"/>
      <c r="U513" s="8"/>
      <c r="V513" s="8"/>
      <c r="W513" s="8"/>
      <c r="X513" s="8"/>
      <c r="Y513" s="8"/>
      <c r="Z513" s="8"/>
      <c r="AA513" s="8"/>
      <c r="AB513" s="8"/>
      <c r="AC513" s="8"/>
    </row>
    <row r="514" ht="12.75" customHeight="1" spans="1:29" x14ac:dyDescent="0.25">
      <c r="A514" s="8"/>
      <c r="B514" s="8"/>
      <c r="C514" s="8"/>
      <c r="D514" s="8"/>
      <c r="E514" s="8"/>
      <c r="F514" s="8"/>
      <c r="G514" s="8"/>
      <c r="H514" s="675"/>
      <c r="I514" s="675"/>
      <c r="J514" s="675"/>
      <c r="K514" s="675"/>
      <c r="L514" s="675"/>
      <c r="M514" s="675"/>
      <c r="N514" s="675"/>
      <c r="O514" s="675"/>
      <c r="P514" s="675"/>
      <c r="Q514" s="675"/>
      <c r="R514" s="675"/>
      <c r="S514" s="675"/>
      <c r="T514" s="675"/>
      <c r="U514" s="8"/>
      <c r="V514" s="8"/>
      <c r="W514" s="8"/>
      <c r="X514" s="8"/>
      <c r="Y514" s="8"/>
      <c r="Z514" s="8"/>
      <c r="AA514" s="8"/>
      <c r="AB514" s="8"/>
      <c r="AC514" s="8"/>
    </row>
    <row r="515" ht="12.75" customHeight="1" spans="1:29" x14ac:dyDescent="0.25">
      <c r="A515" s="8"/>
      <c r="B515" s="8"/>
      <c r="C515" s="8"/>
      <c r="D515" s="8"/>
      <c r="E515" s="8"/>
      <c r="F515" s="8"/>
      <c r="G515" s="8"/>
      <c r="H515" s="675"/>
      <c r="I515" s="675"/>
      <c r="J515" s="675"/>
      <c r="K515" s="675"/>
      <c r="L515" s="675"/>
      <c r="M515" s="675"/>
      <c r="N515" s="675"/>
      <c r="O515" s="675"/>
      <c r="P515" s="675"/>
      <c r="Q515" s="675"/>
      <c r="R515" s="675"/>
      <c r="S515" s="675"/>
      <c r="T515" s="675"/>
      <c r="U515" s="8"/>
      <c r="V515" s="8"/>
      <c r="W515" s="8"/>
      <c r="X515" s="8"/>
      <c r="Y515" s="8"/>
      <c r="Z515" s="8"/>
      <c r="AA515" s="8"/>
      <c r="AB515" s="8"/>
      <c r="AC515" s="8"/>
    </row>
    <row r="516" ht="12.75" customHeight="1" spans="1:29" x14ac:dyDescent="0.25">
      <c r="A516" s="8"/>
      <c r="B516" s="8"/>
      <c r="C516" s="8"/>
      <c r="D516" s="8"/>
      <c r="E516" s="8"/>
      <c r="F516" s="8"/>
      <c r="G516" s="8"/>
      <c r="H516" s="675"/>
      <c r="I516" s="675"/>
      <c r="J516" s="675"/>
      <c r="K516" s="675"/>
      <c r="L516" s="675"/>
      <c r="M516" s="675"/>
      <c r="N516" s="675"/>
      <c r="O516" s="675"/>
      <c r="P516" s="675"/>
      <c r="Q516" s="675"/>
      <c r="R516" s="675"/>
      <c r="S516" s="675"/>
      <c r="T516" s="675"/>
      <c r="U516" s="8"/>
      <c r="V516" s="8"/>
      <c r="W516" s="8"/>
      <c r="X516" s="8"/>
      <c r="Y516" s="8"/>
      <c r="Z516" s="8"/>
      <c r="AA516" s="8"/>
      <c r="AB516" s="8"/>
      <c r="AC516" s="8"/>
    </row>
    <row r="517" ht="12.75" customHeight="1" spans="1:29" x14ac:dyDescent="0.25">
      <c r="A517" s="8"/>
      <c r="B517" s="8"/>
      <c r="C517" s="8"/>
      <c r="D517" s="8"/>
      <c r="E517" s="8"/>
      <c r="F517" s="8"/>
      <c r="G517" s="8"/>
      <c r="H517" s="675"/>
      <c r="I517" s="675"/>
      <c r="J517" s="675"/>
      <c r="K517" s="675"/>
      <c r="L517" s="675"/>
      <c r="M517" s="675"/>
      <c r="N517" s="675"/>
      <c r="O517" s="675"/>
      <c r="P517" s="675"/>
      <c r="Q517" s="675"/>
      <c r="R517" s="675"/>
      <c r="S517" s="675"/>
      <c r="T517" s="675"/>
      <c r="U517" s="8"/>
      <c r="V517" s="8"/>
      <c r="W517" s="8"/>
      <c r="X517" s="8"/>
      <c r="Y517" s="8"/>
      <c r="Z517" s="8"/>
      <c r="AA517" s="8"/>
      <c r="AB517" s="8"/>
      <c r="AC517" s="8"/>
    </row>
    <row r="518" ht="12.75" customHeight="1" spans="1:29" x14ac:dyDescent="0.25">
      <c r="A518" s="8"/>
      <c r="B518" s="8"/>
      <c r="C518" s="8"/>
      <c r="D518" s="8"/>
      <c r="E518" s="8"/>
      <c r="F518" s="8"/>
      <c r="G518" s="8"/>
      <c r="H518" s="675"/>
      <c r="I518" s="675"/>
      <c r="J518" s="675"/>
      <c r="K518" s="675"/>
      <c r="L518" s="675"/>
      <c r="M518" s="675"/>
      <c r="N518" s="675"/>
      <c r="O518" s="675"/>
      <c r="P518" s="675"/>
      <c r="Q518" s="675"/>
      <c r="R518" s="675"/>
      <c r="S518" s="675"/>
      <c r="T518" s="675"/>
      <c r="U518" s="8"/>
      <c r="V518" s="8"/>
      <c r="W518" s="8"/>
      <c r="X518" s="8"/>
      <c r="Y518" s="8"/>
      <c r="Z518" s="8"/>
      <c r="AA518" s="8"/>
      <c r="AB518" s="8"/>
      <c r="AC518" s="8"/>
    </row>
    <row r="519" ht="12.75" customHeight="1" spans="1:29" x14ac:dyDescent="0.25">
      <c r="A519" s="8"/>
      <c r="B519" s="8"/>
      <c r="C519" s="8"/>
      <c r="D519" s="8"/>
      <c r="E519" s="8"/>
      <c r="F519" s="8"/>
      <c r="G519" s="8"/>
      <c r="H519" s="675"/>
      <c r="I519" s="675"/>
      <c r="J519" s="675"/>
      <c r="K519" s="675"/>
      <c r="L519" s="675"/>
      <c r="M519" s="675"/>
      <c r="N519" s="675"/>
      <c r="O519" s="675"/>
      <c r="P519" s="675"/>
      <c r="Q519" s="675"/>
      <c r="R519" s="675"/>
      <c r="S519" s="675"/>
      <c r="T519" s="675"/>
      <c r="U519" s="8"/>
      <c r="V519" s="8"/>
      <c r="W519" s="8"/>
      <c r="X519" s="8"/>
      <c r="Y519" s="8"/>
      <c r="Z519" s="8"/>
      <c r="AA519" s="8"/>
      <c r="AB519" s="8"/>
      <c r="AC519" s="8"/>
    </row>
    <row r="520" ht="12.75" customHeight="1" spans="1:29" x14ac:dyDescent="0.25">
      <c r="A520" s="8"/>
      <c r="B520" s="8"/>
      <c r="C520" s="8"/>
      <c r="D520" s="8"/>
      <c r="E520" s="8"/>
      <c r="F520" s="8"/>
      <c r="G520" s="8"/>
      <c r="H520" s="675"/>
      <c r="I520" s="675"/>
      <c r="J520" s="675"/>
      <c r="K520" s="675"/>
      <c r="L520" s="675"/>
      <c r="M520" s="675"/>
      <c r="N520" s="675"/>
      <c r="O520" s="675"/>
      <c r="P520" s="675"/>
      <c r="Q520" s="675"/>
      <c r="R520" s="675"/>
      <c r="S520" s="675"/>
      <c r="T520" s="675"/>
      <c r="U520" s="8"/>
      <c r="V520" s="8"/>
      <c r="W520" s="8"/>
      <c r="X520" s="8"/>
      <c r="Y520" s="8"/>
      <c r="Z520" s="8"/>
      <c r="AA520" s="8"/>
      <c r="AB520" s="8"/>
      <c r="AC520" s="8"/>
    </row>
    <row r="521" ht="12.75" customHeight="1" spans="1:29" x14ac:dyDescent="0.25">
      <c r="A521" s="8"/>
      <c r="B521" s="8"/>
      <c r="C521" s="8"/>
      <c r="D521" s="8"/>
      <c r="E521" s="8"/>
      <c r="F521" s="8"/>
      <c r="G521" s="8"/>
      <c r="H521" s="675"/>
      <c r="I521" s="675"/>
      <c r="J521" s="675"/>
      <c r="K521" s="675"/>
      <c r="L521" s="675"/>
      <c r="M521" s="675"/>
      <c r="N521" s="675"/>
      <c r="O521" s="675"/>
      <c r="P521" s="675"/>
      <c r="Q521" s="675"/>
      <c r="R521" s="675"/>
      <c r="S521" s="675"/>
      <c r="T521" s="675"/>
      <c r="U521" s="8"/>
      <c r="V521" s="8"/>
      <c r="W521" s="8"/>
      <c r="X521" s="8"/>
      <c r="Y521" s="8"/>
      <c r="Z521" s="8"/>
      <c r="AA521" s="8"/>
      <c r="AB521" s="8"/>
      <c r="AC521" s="8"/>
    </row>
    <row r="522" ht="12.75" customHeight="1" spans="1:29" x14ac:dyDescent="0.25">
      <c r="A522" s="8"/>
      <c r="B522" s="8"/>
      <c r="C522" s="8"/>
      <c r="D522" s="8"/>
      <c r="E522" s="8"/>
      <c r="F522" s="8"/>
      <c r="G522" s="8"/>
      <c r="H522" s="675"/>
      <c r="I522" s="675"/>
      <c r="J522" s="675"/>
      <c r="K522" s="675"/>
      <c r="L522" s="675"/>
      <c r="M522" s="675"/>
      <c r="N522" s="675"/>
      <c r="O522" s="675"/>
      <c r="P522" s="675"/>
      <c r="Q522" s="675"/>
      <c r="R522" s="675"/>
      <c r="S522" s="675"/>
      <c r="T522" s="675"/>
      <c r="U522" s="8"/>
      <c r="V522" s="8"/>
      <c r="W522" s="8"/>
      <c r="X522" s="8"/>
      <c r="Y522" s="8"/>
      <c r="Z522" s="8"/>
      <c r="AA522" s="8"/>
      <c r="AB522" s="8"/>
      <c r="AC522" s="8"/>
    </row>
    <row r="523" ht="12.75" customHeight="1" spans="1:29" x14ac:dyDescent="0.25">
      <c r="A523" s="8"/>
      <c r="B523" s="8"/>
      <c r="C523" s="8"/>
      <c r="D523" s="8"/>
      <c r="E523" s="8"/>
      <c r="F523" s="8"/>
      <c r="G523" s="8"/>
      <c r="H523" s="675"/>
      <c r="I523" s="675"/>
      <c r="J523" s="675"/>
      <c r="K523" s="675"/>
      <c r="L523" s="675"/>
      <c r="M523" s="675"/>
      <c r="N523" s="675"/>
      <c r="O523" s="675"/>
      <c r="P523" s="675"/>
      <c r="Q523" s="675"/>
      <c r="R523" s="675"/>
      <c r="S523" s="675"/>
      <c r="T523" s="675"/>
      <c r="U523" s="8"/>
      <c r="V523" s="8"/>
      <c r="W523" s="8"/>
      <c r="X523" s="8"/>
      <c r="Y523" s="8"/>
      <c r="Z523" s="8"/>
      <c r="AA523" s="8"/>
      <c r="AB523" s="8"/>
      <c r="AC523" s="8"/>
    </row>
    <row r="524" ht="12.75" customHeight="1" spans="1:29" x14ac:dyDescent="0.25">
      <c r="A524" s="8"/>
      <c r="B524" s="8"/>
      <c r="C524" s="8"/>
      <c r="D524" s="8"/>
      <c r="E524" s="8"/>
      <c r="F524" s="8"/>
      <c r="G524" s="8"/>
      <c r="H524" s="675"/>
      <c r="I524" s="675"/>
      <c r="J524" s="675"/>
      <c r="K524" s="675"/>
      <c r="L524" s="675"/>
      <c r="M524" s="675"/>
      <c r="N524" s="675"/>
      <c r="O524" s="675"/>
      <c r="P524" s="675"/>
      <c r="Q524" s="675"/>
      <c r="R524" s="675"/>
      <c r="S524" s="675"/>
      <c r="T524" s="675"/>
      <c r="U524" s="8"/>
      <c r="V524" s="8"/>
      <c r="W524" s="8"/>
      <c r="X524" s="8"/>
      <c r="Y524" s="8"/>
      <c r="Z524" s="8"/>
      <c r="AA524" s="8"/>
      <c r="AB524" s="8"/>
      <c r="AC524" s="8"/>
    </row>
    <row r="525" ht="12.75" customHeight="1" spans="1:29" x14ac:dyDescent="0.25">
      <c r="A525" s="8"/>
      <c r="B525" s="8"/>
      <c r="C525" s="8"/>
      <c r="D525" s="8"/>
      <c r="E525" s="8"/>
      <c r="F525" s="8"/>
      <c r="G525" s="8"/>
      <c r="H525" s="675"/>
      <c r="I525" s="675"/>
      <c r="J525" s="675"/>
      <c r="K525" s="675"/>
      <c r="L525" s="675"/>
      <c r="M525" s="675"/>
      <c r="N525" s="675"/>
      <c r="O525" s="675"/>
      <c r="P525" s="675"/>
      <c r="Q525" s="675"/>
      <c r="R525" s="675"/>
      <c r="S525" s="675"/>
      <c r="T525" s="675"/>
      <c r="U525" s="8"/>
      <c r="V525" s="8"/>
      <c r="W525" s="8"/>
      <c r="X525" s="8"/>
      <c r="Y525" s="8"/>
      <c r="Z525" s="8"/>
      <c r="AA525" s="8"/>
      <c r="AB525" s="8"/>
      <c r="AC525" s="8"/>
    </row>
    <row r="526" ht="12.75" customHeight="1" spans="1:29" x14ac:dyDescent="0.25">
      <c r="A526" s="8"/>
      <c r="B526" s="8"/>
      <c r="C526" s="8"/>
      <c r="D526" s="8"/>
      <c r="E526" s="8"/>
      <c r="F526" s="8"/>
      <c r="G526" s="8"/>
      <c r="H526" s="675"/>
      <c r="I526" s="675"/>
      <c r="J526" s="675"/>
      <c r="K526" s="675"/>
      <c r="L526" s="675"/>
      <c r="M526" s="675"/>
      <c r="N526" s="675"/>
      <c r="O526" s="675"/>
      <c r="P526" s="675"/>
      <c r="Q526" s="675"/>
      <c r="R526" s="675"/>
      <c r="S526" s="675"/>
      <c r="T526" s="675"/>
      <c r="U526" s="8"/>
      <c r="V526" s="8"/>
      <c r="W526" s="8"/>
      <c r="X526" s="8"/>
      <c r="Y526" s="8"/>
      <c r="Z526" s="8"/>
      <c r="AA526" s="8"/>
      <c r="AB526" s="8"/>
      <c r="AC526" s="8"/>
    </row>
    <row r="527" ht="12.75" customHeight="1" spans="1:29" x14ac:dyDescent="0.25">
      <c r="A527" s="8"/>
      <c r="B527" s="8"/>
      <c r="C527" s="8"/>
      <c r="D527" s="8"/>
      <c r="E527" s="8"/>
      <c r="F527" s="8"/>
      <c r="G527" s="8"/>
      <c r="H527" s="675"/>
      <c r="I527" s="675"/>
      <c r="J527" s="675"/>
      <c r="K527" s="675"/>
      <c r="L527" s="675"/>
      <c r="M527" s="675"/>
      <c r="N527" s="675"/>
      <c r="O527" s="675"/>
      <c r="P527" s="675"/>
      <c r="Q527" s="675"/>
      <c r="R527" s="675"/>
      <c r="S527" s="675"/>
      <c r="T527" s="675"/>
      <c r="U527" s="8"/>
      <c r="V527" s="8"/>
      <c r="W527" s="8"/>
      <c r="X527" s="8"/>
      <c r="Y527" s="8"/>
      <c r="Z527" s="8"/>
      <c r="AA527" s="8"/>
      <c r="AB527" s="8"/>
      <c r="AC527" s="8"/>
    </row>
    <row r="528" ht="12.75" customHeight="1" spans="1:29" x14ac:dyDescent="0.25">
      <c r="A528" s="8"/>
      <c r="B528" s="8"/>
      <c r="C528" s="8"/>
      <c r="D528" s="8"/>
      <c r="E528" s="8"/>
      <c r="F528" s="8"/>
      <c r="G528" s="8"/>
      <c r="H528" s="675"/>
      <c r="I528" s="675"/>
      <c r="J528" s="675"/>
      <c r="K528" s="675"/>
      <c r="L528" s="675"/>
      <c r="M528" s="675"/>
      <c r="N528" s="675"/>
      <c r="O528" s="675"/>
      <c r="P528" s="675"/>
      <c r="Q528" s="675"/>
      <c r="R528" s="675"/>
      <c r="S528" s="675"/>
      <c r="T528" s="675"/>
      <c r="U528" s="8"/>
      <c r="V528" s="8"/>
      <c r="W528" s="8"/>
      <c r="X528" s="8"/>
      <c r="Y528" s="8"/>
      <c r="Z528" s="8"/>
      <c r="AA528" s="8"/>
      <c r="AB528" s="8"/>
      <c r="AC528" s="8"/>
    </row>
    <row r="529" ht="12.75" customHeight="1" spans="1:29" x14ac:dyDescent="0.25">
      <c r="A529" s="8"/>
      <c r="B529" s="8"/>
      <c r="C529" s="8"/>
      <c r="D529" s="8"/>
      <c r="E529" s="8"/>
      <c r="F529" s="8"/>
      <c r="G529" s="8"/>
      <c r="H529" s="675"/>
      <c r="I529" s="675"/>
      <c r="J529" s="675"/>
      <c r="K529" s="675"/>
      <c r="L529" s="675"/>
      <c r="M529" s="675"/>
      <c r="N529" s="675"/>
      <c r="O529" s="675"/>
      <c r="P529" s="675"/>
      <c r="Q529" s="675"/>
      <c r="R529" s="675"/>
      <c r="S529" s="675"/>
      <c r="T529" s="675"/>
      <c r="U529" s="8"/>
      <c r="V529" s="8"/>
      <c r="W529" s="8"/>
      <c r="X529" s="8"/>
      <c r="Y529" s="8"/>
      <c r="Z529" s="8"/>
      <c r="AA529" s="8"/>
      <c r="AB529" s="8"/>
      <c r="AC529" s="8"/>
    </row>
    <row r="530" ht="12.75" customHeight="1" spans="1:29" x14ac:dyDescent="0.25">
      <c r="A530" s="8"/>
      <c r="B530" s="8"/>
      <c r="C530" s="8"/>
      <c r="D530" s="8"/>
      <c r="E530" s="8"/>
      <c r="F530" s="8"/>
      <c r="G530" s="8"/>
      <c r="H530" s="675"/>
      <c r="I530" s="675"/>
      <c r="J530" s="675"/>
      <c r="K530" s="675"/>
      <c r="L530" s="675"/>
      <c r="M530" s="675"/>
      <c r="N530" s="675"/>
      <c r="O530" s="675"/>
      <c r="P530" s="675"/>
      <c r="Q530" s="675"/>
      <c r="R530" s="675"/>
      <c r="S530" s="675"/>
      <c r="T530" s="675"/>
      <c r="U530" s="8"/>
      <c r="V530" s="8"/>
      <c r="W530" s="8"/>
      <c r="X530" s="8"/>
      <c r="Y530" s="8"/>
      <c r="Z530" s="8"/>
      <c r="AA530" s="8"/>
      <c r="AB530" s="8"/>
      <c r="AC530" s="8"/>
    </row>
    <row r="531" ht="12.75" customHeight="1" spans="1:29" x14ac:dyDescent="0.25">
      <c r="A531" s="8"/>
      <c r="B531" s="8"/>
      <c r="C531" s="8"/>
      <c r="D531" s="8"/>
      <c r="E531" s="8"/>
      <c r="F531" s="8"/>
      <c r="G531" s="8"/>
      <c r="H531" s="675"/>
      <c r="I531" s="675"/>
      <c r="J531" s="675"/>
      <c r="K531" s="675"/>
      <c r="L531" s="675"/>
      <c r="M531" s="675"/>
      <c r="N531" s="675"/>
      <c r="O531" s="675"/>
      <c r="P531" s="675"/>
      <c r="Q531" s="675"/>
      <c r="R531" s="675"/>
      <c r="S531" s="675"/>
      <c r="T531" s="675"/>
      <c r="U531" s="8"/>
      <c r="V531" s="8"/>
      <c r="W531" s="8"/>
      <c r="X531" s="8"/>
      <c r="Y531" s="8"/>
      <c r="Z531" s="8"/>
      <c r="AA531" s="8"/>
      <c r="AB531" s="8"/>
      <c r="AC531" s="8"/>
    </row>
    <row r="532" ht="12.75" customHeight="1" spans="1:29" x14ac:dyDescent="0.25">
      <c r="A532" s="8"/>
      <c r="B532" s="8"/>
      <c r="C532" s="8"/>
      <c r="D532" s="8"/>
      <c r="E532" s="8"/>
      <c r="F532" s="8"/>
      <c r="G532" s="8"/>
      <c r="H532" s="675"/>
      <c r="I532" s="675"/>
      <c r="J532" s="675"/>
      <c r="K532" s="675"/>
      <c r="L532" s="675"/>
      <c r="M532" s="675"/>
      <c r="N532" s="675"/>
      <c r="O532" s="675"/>
      <c r="P532" s="675"/>
      <c r="Q532" s="675"/>
      <c r="R532" s="675"/>
      <c r="S532" s="675"/>
      <c r="T532" s="675"/>
      <c r="U532" s="8"/>
      <c r="V532" s="8"/>
      <c r="W532" s="8"/>
      <c r="X532" s="8"/>
      <c r="Y532" s="8"/>
      <c r="Z532" s="8"/>
      <c r="AA532" s="8"/>
      <c r="AB532" s="8"/>
      <c r="AC532" s="8"/>
    </row>
    <row r="533" ht="12.75" customHeight="1" spans="1:29" x14ac:dyDescent="0.25">
      <c r="A533" s="8"/>
      <c r="B533" s="8"/>
      <c r="C533" s="8"/>
      <c r="D533" s="8"/>
      <c r="E533" s="8"/>
      <c r="F533" s="8"/>
      <c r="G533" s="8"/>
      <c r="H533" s="675"/>
      <c r="I533" s="675"/>
      <c r="J533" s="675"/>
      <c r="K533" s="675"/>
      <c r="L533" s="675"/>
      <c r="M533" s="675"/>
      <c r="N533" s="675"/>
      <c r="O533" s="675"/>
      <c r="P533" s="675"/>
      <c r="Q533" s="675"/>
      <c r="R533" s="675"/>
      <c r="S533" s="675"/>
      <c r="T533" s="675"/>
      <c r="U533" s="8"/>
      <c r="V533" s="8"/>
      <c r="W533" s="8"/>
      <c r="X533" s="8"/>
      <c r="Y533" s="8"/>
      <c r="Z533" s="8"/>
      <c r="AA533" s="8"/>
      <c r="AB533" s="8"/>
      <c r="AC533" s="8"/>
    </row>
    <row r="534" ht="12.75" customHeight="1" spans="1:29" x14ac:dyDescent="0.25">
      <c r="A534" s="8"/>
      <c r="B534" s="8"/>
      <c r="C534" s="8"/>
      <c r="D534" s="8"/>
      <c r="E534" s="8"/>
      <c r="F534" s="8"/>
      <c r="G534" s="8"/>
      <c r="H534" s="675"/>
      <c r="I534" s="675"/>
      <c r="J534" s="675"/>
      <c r="K534" s="675"/>
      <c r="L534" s="675"/>
      <c r="M534" s="675"/>
      <c r="N534" s="675"/>
      <c r="O534" s="675"/>
      <c r="P534" s="675"/>
      <c r="Q534" s="675"/>
      <c r="R534" s="675"/>
      <c r="S534" s="675"/>
      <c r="T534" s="675"/>
      <c r="U534" s="8"/>
      <c r="V534" s="8"/>
      <c r="W534" s="8"/>
      <c r="X534" s="8"/>
      <c r="Y534" s="8"/>
      <c r="Z534" s="8"/>
      <c r="AA534" s="8"/>
      <c r="AB534" s="8"/>
      <c r="AC534" s="8"/>
    </row>
    <row r="535" ht="12.75" customHeight="1" spans="1:29" x14ac:dyDescent="0.25">
      <c r="A535" s="8"/>
      <c r="B535" s="8"/>
      <c r="C535" s="8"/>
      <c r="D535" s="8"/>
      <c r="E535" s="8"/>
      <c r="F535" s="8"/>
      <c r="G535" s="8"/>
      <c r="H535" s="675"/>
      <c r="I535" s="675"/>
      <c r="J535" s="675"/>
      <c r="K535" s="675"/>
      <c r="L535" s="675"/>
      <c r="M535" s="675"/>
      <c r="N535" s="675"/>
      <c r="O535" s="675"/>
      <c r="P535" s="675"/>
      <c r="Q535" s="675"/>
      <c r="R535" s="675"/>
      <c r="S535" s="675"/>
      <c r="T535" s="675"/>
      <c r="U535" s="8"/>
      <c r="V535" s="8"/>
      <c r="W535" s="8"/>
      <c r="X535" s="8"/>
      <c r="Y535" s="8"/>
      <c r="Z535" s="8"/>
      <c r="AA535" s="8"/>
      <c r="AB535" s="8"/>
      <c r="AC535" s="8"/>
    </row>
    <row r="536" ht="12.75" customHeight="1" spans="1:29" x14ac:dyDescent="0.25">
      <c r="A536" s="8"/>
      <c r="B536" s="8"/>
      <c r="C536" s="8"/>
      <c r="D536" s="8"/>
      <c r="E536" s="8"/>
      <c r="F536" s="8"/>
      <c r="G536" s="8"/>
      <c r="H536" s="675"/>
      <c r="I536" s="675"/>
      <c r="J536" s="675"/>
      <c r="K536" s="675"/>
      <c r="L536" s="675"/>
      <c r="M536" s="675"/>
      <c r="N536" s="675"/>
      <c r="O536" s="675"/>
      <c r="P536" s="675"/>
      <c r="Q536" s="675"/>
      <c r="R536" s="675"/>
      <c r="S536" s="675"/>
      <c r="T536" s="675"/>
      <c r="U536" s="8"/>
      <c r="V536" s="8"/>
      <c r="W536" s="8"/>
      <c r="X536" s="8"/>
      <c r="Y536" s="8"/>
      <c r="Z536" s="8"/>
      <c r="AA536" s="8"/>
      <c r="AB536" s="8"/>
      <c r="AC536" s="8"/>
    </row>
    <row r="537" ht="12.75" customHeight="1" spans="1:29" x14ac:dyDescent="0.25">
      <c r="A537" s="8"/>
      <c r="B537" s="8"/>
      <c r="C537" s="8"/>
      <c r="D537" s="8"/>
      <c r="E537" s="8"/>
      <c r="F537" s="8"/>
      <c r="G537" s="8"/>
      <c r="H537" s="675"/>
      <c r="I537" s="675"/>
      <c r="J537" s="675"/>
      <c r="K537" s="675"/>
      <c r="L537" s="675"/>
      <c r="M537" s="675"/>
      <c r="N537" s="675"/>
      <c r="O537" s="675"/>
      <c r="P537" s="675"/>
      <c r="Q537" s="675"/>
      <c r="R537" s="675"/>
      <c r="S537" s="675"/>
      <c r="T537" s="675"/>
      <c r="U537" s="8"/>
      <c r="V537" s="8"/>
      <c r="W537" s="8"/>
      <c r="X537" s="8"/>
      <c r="Y537" s="8"/>
      <c r="Z537" s="8"/>
      <c r="AA537" s="8"/>
      <c r="AB537" s="8"/>
      <c r="AC537" s="8"/>
    </row>
    <row r="538" ht="12.75" customHeight="1" spans="1:29" x14ac:dyDescent="0.25">
      <c r="A538" s="8"/>
      <c r="B538" s="8"/>
      <c r="C538" s="8"/>
      <c r="D538" s="8"/>
      <c r="E538" s="8"/>
      <c r="F538" s="8"/>
      <c r="G538" s="8"/>
      <c r="H538" s="675"/>
      <c r="I538" s="675"/>
      <c r="J538" s="675"/>
      <c r="K538" s="675"/>
      <c r="L538" s="675"/>
      <c r="M538" s="675"/>
      <c r="N538" s="675"/>
      <c r="O538" s="675"/>
      <c r="P538" s="675"/>
      <c r="Q538" s="675"/>
      <c r="R538" s="675"/>
      <c r="S538" s="675"/>
      <c r="T538" s="675"/>
      <c r="U538" s="8"/>
      <c r="V538" s="8"/>
      <c r="W538" s="8"/>
      <c r="X538" s="8"/>
      <c r="Y538" s="8"/>
      <c r="Z538" s="8"/>
      <c r="AA538" s="8"/>
      <c r="AB538" s="8"/>
      <c r="AC538" s="8"/>
    </row>
    <row r="539" ht="12.75" customHeight="1" spans="1:29" x14ac:dyDescent="0.25">
      <c r="A539" s="8"/>
      <c r="B539" s="8"/>
      <c r="C539" s="8"/>
      <c r="D539" s="8"/>
      <c r="E539" s="8"/>
      <c r="F539" s="8"/>
      <c r="G539" s="8"/>
      <c r="H539" s="675"/>
      <c r="I539" s="675"/>
      <c r="J539" s="675"/>
      <c r="K539" s="675"/>
      <c r="L539" s="675"/>
      <c r="M539" s="675"/>
      <c r="N539" s="675"/>
      <c r="O539" s="675"/>
      <c r="P539" s="675"/>
      <c r="Q539" s="675"/>
      <c r="R539" s="675"/>
      <c r="S539" s="675"/>
      <c r="T539" s="675"/>
      <c r="U539" s="8"/>
      <c r="V539" s="8"/>
      <c r="W539" s="8"/>
      <c r="X539" s="8"/>
      <c r="Y539" s="8"/>
      <c r="Z539" s="8"/>
      <c r="AA539" s="8"/>
      <c r="AB539" s="8"/>
      <c r="AC539" s="8"/>
    </row>
    <row r="540" ht="12.75" customHeight="1" spans="1:29" x14ac:dyDescent="0.25">
      <c r="A540" s="8"/>
      <c r="B540" s="8"/>
      <c r="C540" s="8"/>
      <c r="D540" s="8"/>
      <c r="E540" s="8"/>
      <c r="F540" s="8"/>
      <c r="G540" s="8"/>
      <c r="H540" s="675"/>
      <c r="I540" s="675"/>
      <c r="J540" s="675"/>
      <c r="K540" s="675"/>
      <c r="L540" s="675"/>
      <c r="M540" s="675"/>
      <c r="N540" s="675"/>
      <c r="O540" s="675"/>
      <c r="P540" s="675"/>
      <c r="Q540" s="675"/>
      <c r="R540" s="675"/>
      <c r="S540" s="675"/>
      <c r="T540" s="675"/>
      <c r="U540" s="8"/>
      <c r="V540" s="8"/>
      <c r="W540" s="8"/>
      <c r="X540" s="8"/>
      <c r="Y540" s="8"/>
      <c r="Z540" s="8"/>
      <c r="AA540" s="8"/>
      <c r="AB540" s="8"/>
      <c r="AC540" s="8"/>
    </row>
    <row r="541" ht="12.75" customHeight="1" spans="1:29" x14ac:dyDescent="0.25">
      <c r="A541" s="8"/>
      <c r="B541" s="8"/>
      <c r="C541" s="8"/>
      <c r="D541" s="8"/>
      <c r="E541" s="8"/>
      <c r="F541" s="8"/>
      <c r="G541" s="8"/>
      <c r="H541" s="675"/>
      <c r="I541" s="675"/>
      <c r="J541" s="675"/>
      <c r="K541" s="675"/>
      <c r="L541" s="675"/>
      <c r="M541" s="675"/>
      <c r="N541" s="675"/>
      <c r="O541" s="675"/>
      <c r="P541" s="675"/>
      <c r="Q541" s="675"/>
      <c r="R541" s="675"/>
      <c r="S541" s="675"/>
      <c r="T541" s="675"/>
      <c r="U541" s="8"/>
      <c r="V541" s="8"/>
      <c r="W541" s="8"/>
      <c r="X541" s="8"/>
      <c r="Y541" s="8"/>
      <c r="Z541" s="8"/>
      <c r="AA541" s="8"/>
      <c r="AB541" s="8"/>
      <c r="AC541" s="8"/>
    </row>
    <row r="542" ht="12.75" customHeight="1" spans="1:29" x14ac:dyDescent="0.25">
      <c r="A542" s="8"/>
      <c r="B542" s="8"/>
      <c r="C542" s="8"/>
      <c r="D542" s="8"/>
      <c r="E542" s="8"/>
      <c r="F542" s="8"/>
      <c r="G542" s="8"/>
      <c r="H542" s="675"/>
      <c r="I542" s="675"/>
      <c r="J542" s="675"/>
      <c r="K542" s="675"/>
      <c r="L542" s="675"/>
      <c r="M542" s="675"/>
      <c r="N542" s="675"/>
      <c r="O542" s="675"/>
      <c r="P542" s="675"/>
      <c r="Q542" s="675"/>
      <c r="R542" s="675"/>
      <c r="S542" s="675"/>
      <c r="T542" s="675"/>
      <c r="U542" s="8"/>
      <c r="V542" s="8"/>
      <c r="W542" s="8"/>
      <c r="X542" s="8"/>
      <c r="Y542" s="8"/>
      <c r="Z542" s="8"/>
      <c r="AA542" s="8"/>
      <c r="AB542" s="8"/>
      <c r="AC542" s="8"/>
    </row>
    <row r="543" ht="12.75" customHeight="1" spans="1:29" x14ac:dyDescent="0.25">
      <c r="A543" s="8"/>
      <c r="B543" s="8"/>
      <c r="C543" s="8"/>
      <c r="D543" s="8"/>
      <c r="E543" s="8"/>
      <c r="F543" s="8"/>
      <c r="G543" s="8"/>
      <c r="H543" s="675"/>
      <c r="I543" s="675"/>
      <c r="J543" s="675"/>
      <c r="K543" s="675"/>
      <c r="L543" s="675"/>
      <c r="M543" s="675"/>
      <c r="N543" s="675"/>
      <c r="O543" s="675"/>
      <c r="P543" s="675"/>
      <c r="Q543" s="675"/>
      <c r="R543" s="675"/>
      <c r="S543" s="675"/>
      <c r="T543" s="675"/>
      <c r="U543" s="8"/>
      <c r="V543" s="8"/>
      <c r="W543" s="8"/>
      <c r="X543" s="8"/>
      <c r="Y543" s="8"/>
      <c r="Z543" s="8"/>
      <c r="AA543" s="8"/>
      <c r="AB543" s="8"/>
      <c r="AC543" s="8"/>
    </row>
    <row r="544" ht="12.75" customHeight="1" spans="1:29" x14ac:dyDescent="0.25">
      <c r="A544" s="8"/>
      <c r="B544" s="8"/>
      <c r="C544" s="8"/>
      <c r="D544" s="8"/>
      <c r="E544" s="8"/>
      <c r="F544" s="8"/>
      <c r="G544" s="8"/>
      <c r="H544" s="675"/>
      <c r="I544" s="675"/>
      <c r="J544" s="675"/>
      <c r="K544" s="675"/>
      <c r="L544" s="675"/>
      <c r="M544" s="675"/>
      <c r="N544" s="675"/>
      <c r="O544" s="675"/>
      <c r="P544" s="675"/>
      <c r="Q544" s="675"/>
      <c r="R544" s="675"/>
      <c r="S544" s="675"/>
      <c r="T544" s="675"/>
      <c r="U544" s="8"/>
      <c r="V544" s="8"/>
      <c r="W544" s="8"/>
      <c r="X544" s="8"/>
      <c r="Y544" s="8"/>
      <c r="Z544" s="8"/>
      <c r="AA544" s="8"/>
      <c r="AB544" s="8"/>
      <c r="AC544" s="8"/>
    </row>
    <row r="545" ht="12.75" customHeight="1" spans="1:29" x14ac:dyDescent="0.25">
      <c r="A545" s="8"/>
      <c r="B545" s="8"/>
      <c r="C545" s="8"/>
      <c r="D545" s="8"/>
      <c r="E545" s="8"/>
      <c r="F545" s="8"/>
      <c r="G545" s="8"/>
      <c r="H545" s="675"/>
      <c r="I545" s="675"/>
      <c r="J545" s="675"/>
      <c r="K545" s="675"/>
      <c r="L545" s="675"/>
      <c r="M545" s="675"/>
      <c r="N545" s="675"/>
      <c r="O545" s="675"/>
      <c r="P545" s="675"/>
      <c r="Q545" s="675"/>
      <c r="R545" s="675"/>
      <c r="S545" s="675"/>
      <c r="T545" s="675"/>
      <c r="U545" s="8"/>
      <c r="V545" s="8"/>
      <c r="W545" s="8"/>
      <c r="X545" s="8"/>
      <c r="Y545" s="8"/>
      <c r="Z545" s="8"/>
      <c r="AA545" s="8"/>
      <c r="AB545" s="8"/>
      <c r="AC545" s="8"/>
    </row>
    <row r="546" ht="12.75" customHeight="1" spans="1:29" x14ac:dyDescent="0.25">
      <c r="A546" s="8"/>
      <c r="B546" s="8"/>
      <c r="C546" s="8"/>
      <c r="D546" s="8"/>
      <c r="E546" s="8"/>
      <c r="F546" s="8"/>
      <c r="G546" s="8"/>
      <c r="H546" s="675"/>
      <c r="I546" s="675"/>
      <c r="J546" s="675"/>
      <c r="K546" s="675"/>
      <c r="L546" s="675"/>
      <c r="M546" s="675"/>
      <c r="N546" s="675"/>
      <c r="O546" s="675"/>
      <c r="P546" s="675"/>
      <c r="Q546" s="675"/>
      <c r="R546" s="675"/>
      <c r="S546" s="675"/>
      <c r="T546" s="675"/>
      <c r="U546" s="8"/>
      <c r="V546" s="8"/>
      <c r="W546" s="8"/>
      <c r="X546" s="8"/>
      <c r="Y546" s="8"/>
      <c r="Z546" s="8"/>
      <c r="AA546" s="8"/>
      <c r="AB546" s="8"/>
      <c r="AC546" s="8"/>
    </row>
    <row r="547" ht="12.75" customHeight="1" spans="1:29" x14ac:dyDescent="0.25">
      <c r="A547" s="8"/>
      <c r="B547" s="8"/>
      <c r="C547" s="8"/>
      <c r="D547" s="8"/>
      <c r="E547" s="8"/>
      <c r="F547" s="8"/>
      <c r="G547" s="8"/>
      <c r="H547" s="675"/>
      <c r="I547" s="675"/>
      <c r="J547" s="675"/>
      <c r="K547" s="675"/>
      <c r="L547" s="675"/>
      <c r="M547" s="675"/>
      <c r="N547" s="675"/>
      <c r="O547" s="675"/>
      <c r="P547" s="675"/>
      <c r="Q547" s="675"/>
      <c r="R547" s="675"/>
      <c r="S547" s="675"/>
      <c r="T547" s="675"/>
      <c r="U547" s="8"/>
      <c r="V547" s="8"/>
      <c r="W547" s="8"/>
      <c r="X547" s="8"/>
      <c r="Y547" s="8"/>
      <c r="Z547" s="8"/>
      <c r="AA547" s="8"/>
      <c r="AB547" s="8"/>
      <c r="AC547" s="8"/>
    </row>
    <row r="548" ht="12.75" customHeight="1" spans="1:29" x14ac:dyDescent="0.25">
      <c r="A548" s="8"/>
      <c r="B548" s="8"/>
      <c r="C548" s="8"/>
      <c r="D548" s="8"/>
      <c r="E548" s="8"/>
      <c r="F548" s="8"/>
      <c r="G548" s="8"/>
      <c r="H548" s="675"/>
      <c r="I548" s="675"/>
      <c r="J548" s="675"/>
      <c r="K548" s="675"/>
      <c r="L548" s="675"/>
      <c r="M548" s="675"/>
      <c r="N548" s="675"/>
      <c r="O548" s="675"/>
      <c r="P548" s="675"/>
      <c r="Q548" s="675"/>
      <c r="R548" s="675"/>
      <c r="S548" s="675"/>
      <c r="T548" s="675"/>
      <c r="U548" s="8"/>
      <c r="V548" s="8"/>
      <c r="W548" s="8"/>
      <c r="X548" s="8"/>
      <c r="Y548" s="8"/>
      <c r="Z548" s="8"/>
      <c r="AA548" s="8"/>
      <c r="AB548" s="8"/>
      <c r="AC548" s="8"/>
    </row>
    <row r="549" ht="12.75" customHeight="1" spans="1:29" x14ac:dyDescent="0.25">
      <c r="A549" s="8"/>
      <c r="B549" s="8"/>
      <c r="C549" s="8"/>
      <c r="D549" s="8"/>
      <c r="E549" s="8"/>
      <c r="F549" s="8"/>
      <c r="G549" s="8"/>
      <c r="H549" s="675"/>
      <c r="I549" s="675"/>
      <c r="J549" s="675"/>
      <c r="K549" s="675"/>
      <c r="L549" s="675"/>
      <c r="M549" s="675"/>
      <c r="N549" s="675"/>
      <c r="O549" s="675"/>
      <c r="P549" s="675"/>
      <c r="Q549" s="675"/>
      <c r="R549" s="675"/>
      <c r="S549" s="675"/>
      <c r="T549" s="675"/>
      <c r="U549" s="8"/>
      <c r="V549" s="8"/>
      <c r="W549" s="8"/>
      <c r="X549" s="8"/>
      <c r="Y549" s="8"/>
      <c r="Z549" s="8"/>
      <c r="AA549" s="8"/>
      <c r="AB549" s="8"/>
      <c r="AC549" s="8"/>
    </row>
    <row r="550" ht="12.75" customHeight="1" spans="1:29" x14ac:dyDescent="0.25">
      <c r="A550" s="8"/>
      <c r="B550" s="8"/>
      <c r="C550" s="8"/>
      <c r="D550" s="8"/>
      <c r="E550" s="8"/>
      <c r="F550" s="8"/>
      <c r="G550" s="8"/>
      <c r="H550" s="675"/>
      <c r="I550" s="675"/>
      <c r="J550" s="675"/>
      <c r="K550" s="675"/>
      <c r="L550" s="675"/>
      <c r="M550" s="675"/>
      <c r="N550" s="675"/>
      <c r="O550" s="675"/>
      <c r="P550" s="675"/>
      <c r="Q550" s="675"/>
      <c r="R550" s="675"/>
      <c r="S550" s="675"/>
      <c r="T550" s="675"/>
      <c r="U550" s="8"/>
      <c r="V550" s="8"/>
      <c r="W550" s="8"/>
      <c r="X550" s="8"/>
      <c r="Y550" s="8"/>
      <c r="Z550" s="8"/>
      <c r="AA550" s="8"/>
      <c r="AB550" s="8"/>
      <c r="AC550" s="8"/>
    </row>
    <row r="551" ht="12.75" customHeight="1" spans="1:29" x14ac:dyDescent="0.25">
      <c r="A551" s="8"/>
      <c r="B551" s="8"/>
      <c r="C551" s="8"/>
      <c r="D551" s="8"/>
      <c r="E551" s="8"/>
      <c r="F551" s="8"/>
      <c r="G551" s="8"/>
      <c r="H551" s="675"/>
      <c r="I551" s="675"/>
      <c r="J551" s="675"/>
      <c r="K551" s="675"/>
      <c r="L551" s="675"/>
      <c r="M551" s="675"/>
      <c r="N551" s="675"/>
      <c r="O551" s="675"/>
      <c r="P551" s="675"/>
      <c r="Q551" s="675"/>
      <c r="R551" s="675"/>
      <c r="S551" s="675"/>
      <c r="T551" s="675"/>
      <c r="U551" s="8"/>
      <c r="V551" s="8"/>
      <c r="W551" s="8"/>
      <c r="X551" s="8"/>
      <c r="Y551" s="8"/>
      <c r="Z551" s="8"/>
      <c r="AA551" s="8"/>
      <c r="AB551" s="8"/>
      <c r="AC551" s="8"/>
    </row>
    <row r="552" ht="12.75" customHeight="1" spans="1:29" x14ac:dyDescent="0.25">
      <c r="A552" s="8"/>
      <c r="B552" s="8"/>
      <c r="C552" s="8"/>
      <c r="D552" s="8"/>
      <c r="E552" s="8"/>
      <c r="F552" s="8"/>
      <c r="G552" s="8"/>
      <c r="H552" s="675"/>
      <c r="I552" s="675"/>
      <c r="J552" s="675"/>
      <c r="K552" s="675"/>
      <c r="L552" s="675"/>
      <c r="M552" s="675"/>
      <c r="N552" s="675"/>
      <c r="O552" s="675"/>
      <c r="P552" s="675"/>
      <c r="Q552" s="675"/>
      <c r="R552" s="675"/>
      <c r="S552" s="675"/>
      <c r="T552" s="675"/>
      <c r="U552" s="8"/>
      <c r="V552" s="8"/>
      <c r="W552" s="8"/>
      <c r="X552" s="8"/>
      <c r="Y552" s="8"/>
      <c r="Z552" s="8"/>
      <c r="AA552" s="8"/>
      <c r="AB552" s="8"/>
      <c r="AC552" s="8"/>
    </row>
    <row r="553" ht="12.75" customHeight="1" spans="1:29" x14ac:dyDescent="0.25">
      <c r="A553" s="8"/>
      <c r="B553" s="8"/>
      <c r="C553" s="8"/>
      <c r="D553" s="8"/>
      <c r="E553" s="8"/>
      <c r="F553" s="8"/>
      <c r="G553" s="8"/>
      <c r="H553" s="675"/>
      <c r="I553" s="675"/>
      <c r="J553" s="675"/>
      <c r="K553" s="675"/>
      <c r="L553" s="675"/>
      <c r="M553" s="675"/>
      <c r="N553" s="675"/>
      <c r="O553" s="675"/>
      <c r="P553" s="675"/>
      <c r="Q553" s="675"/>
      <c r="R553" s="675"/>
      <c r="S553" s="675"/>
      <c r="T553" s="675"/>
      <c r="U553" s="8"/>
      <c r="V553" s="8"/>
      <c r="W553" s="8"/>
      <c r="X553" s="8"/>
      <c r="Y553" s="8"/>
      <c r="Z553" s="8"/>
      <c r="AA553" s="8"/>
      <c r="AB553" s="8"/>
      <c r="AC553" s="8"/>
    </row>
    <row r="554" ht="12.75" customHeight="1" spans="1:29" x14ac:dyDescent="0.25">
      <c r="A554" s="8"/>
      <c r="B554" s="8"/>
      <c r="C554" s="8"/>
      <c r="D554" s="8"/>
      <c r="E554" s="8"/>
      <c r="F554" s="8"/>
      <c r="G554" s="8"/>
      <c r="H554" s="675"/>
      <c r="I554" s="675"/>
      <c r="J554" s="675"/>
      <c r="K554" s="675"/>
      <c r="L554" s="675"/>
      <c r="M554" s="675"/>
      <c r="N554" s="675"/>
      <c r="O554" s="675"/>
      <c r="P554" s="675"/>
      <c r="Q554" s="675"/>
      <c r="R554" s="675"/>
      <c r="S554" s="675"/>
      <c r="T554" s="675"/>
      <c r="U554" s="8"/>
      <c r="V554" s="8"/>
      <c r="W554" s="8"/>
      <c r="X554" s="8"/>
      <c r="Y554" s="8"/>
      <c r="Z554" s="8"/>
      <c r="AA554" s="8"/>
      <c r="AB554" s="8"/>
      <c r="AC554" s="8"/>
    </row>
    <row r="555" ht="12.75" customHeight="1" spans="1:29" x14ac:dyDescent="0.25">
      <c r="A555" s="8"/>
      <c r="B555" s="8"/>
      <c r="C555" s="8"/>
      <c r="D555" s="8"/>
      <c r="E555" s="8"/>
      <c r="F555" s="8"/>
      <c r="G555" s="8"/>
      <c r="H555" s="675"/>
      <c r="I555" s="675"/>
      <c r="J555" s="675"/>
      <c r="K555" s="675"/>
      <c r="L555" s="675"/>
      <c r="M555" s="675"/>
      <c r="N555" s="675"/>
      <c r="O555" s="675"/>
      <c r="P555" s="675"/>
      <c r="Q555" s="675"/>
      <c r="R555" s="675"/>
      <c r="S555" s="675"/>
      <c r="T555" s="675"/>
      <c r="U555" s="8"/>
      <c r="V555" s="8"/>
      <c r="W555" s="8"/>
      <c r="X555" s="8"/>
      <c r="Y555" s="8"/>
      <c r="Z555" s="8"/>
      <c r="AA555" s="8"/>
      <c r="AB555" s="8"/>
      <c r="AC555" s="8"/>
    </row>
    <row r="556" ht="12.75" customHeight="1" spans="1:29" x14ac:dyDescent="0.25">
      <c r="A556" s="8"/>
      <c r="B556" s="8"/>
      <c r="C556" s="8"/>
      <c r="D556" s="8"/>
      <c r="E556" s="8"/>
      <c r="F556" s="8"/>
      <c r="G556" s="8"/>
      <c r="H556" s="675"/>
      <c r="I556" s="675"/>
      <c r="J556" s="675"/>
      <c r="K556" s="675"/>
      <c r="L556" s="675"/>
      <c r="M556" s="675"/>
      <c r="N556" s="675"/>
      <c r="O556" s="675"/>
      <c r="P556" s="675"/>
      <c r="Q556" s="675"/>
      <c r="R556" s="675"/>
      <c r="S556" s="675"/>
      <c r="T556" s="675"/>
      <c r="U556" s="8"/>
      <c r="V556" s="8"/>
      <c r="W556" s="8"/>
      <c r="X556" s="8"/>
      <c r="Y556" s="8"/>
      <c r="Z556" s="8"/>
      <c r="AA556" s="8"/>
      <c r="AB556" s="8"/>
      <c r="AC556" s="8"/>
    </row>
    <row r="557" ht="12.75" customHeight="1" spans="1:29" x14ac:dyDescent="0.25">
      <c r="A557" s="8"/>
      <c r="B557" s="8"/>
      <c r="C557" s="8"/>
      <c r="D557" s="8"/>
      <c r="E557" s="8"/>
      <c r="F557" s="8"/>
      <c r="G557" s="8"/>
      <c r="H557" s="675"/>
      <c r="I557" s="675"/>
      <c r="J557" s="675"/>
      <c r="K557" s="675"/>
      <c r="L557" s="675"/>
      <c r="M557" s="675"/>
      <c r="N557" s="675"/>
      <c r="O557" s="675"/>
      <c r="P557" s="675"/>
      <c r="Q557" s="675"/>
      <c r="R557" s="675"/>
      <c r="S557" s="675"/>
      <c r="T557" s="675"/>
      <c r="U557" s="8"/>
      <c r="V557" s="8"/>
      <c r="W557" s="8"/>
      <c r="X557" s="8"/>
      <c r="Y557" s="8"/>
      <c r="Z557" s="8"/>
      <c r="AA557" s="8"/>
      <c r="AB557" s="8"/>
      <c r="AC557" s="8"/>
    </row>
    <row r="558" ht="12.75" customHeight="1" spans="1:29" x14ac:dyDescent="0.25">
      <c r="A558" s="8"/>
      <c r="B558" s="8"/>
      <c r="C558" s="8"/>
      <c r="D558" s="8"/>
      <c r="E558" s="8"/>
      <c r="F558" s="8"/>
      <c r="G558" s="8"/>
      <c r="H558" s="675"/>
      <c r="I558" s="675"/>
      <c r="J558" s="675"/>
      <c r="K558" s="675"/>
      <c r="L558" s="675"/>
      <c r="M558" s="675"/>
      <c r="N558" s="675"/>
      <c r="O558" s="675"/>
      <c r="P558" s="675"/>
      <c r="Q558" s="675"/>
      <c r="R558" s="675"/>
      <c r="S558" s="675"/>
      <c r="T558" s="675"/>
      <c r="U558" s="8"/>
      <c r="V558" s="8"/>
      <c r="W558" s="8"/>
      <c r="X558" s="8"/>
      <c r="Y558" s="8"/>
      <c r="Z558" s="8"/>
      <c r="AA558" s="8"/>
      <c r="AB558" s="8"/>
      <c r="AC558" s="8"/>
    </row>
    <row r="559" ht="12.75" customHeight="1" spans="1:29" x14ac:dyDescent="0.25">
      <c r="A559" s="8"/>
      <c r="B559" s="8"/>
      <c r="C559" s="8"/>
      <c r="D559" s="8"/>
      <c r="E559" s="8"/>
      <c r="F559" s="8"/>
      <c r="G559" s="8"/>
      <c r="H559" s="675"/>
      <c r="I559" s="675"/>
      <c r="J559" s="675"/>
      <c r="K559" s="675"/>
      <c r="L559" s="675"/>
      <c r="M559" s="675"/>
      <c r="N559" s="675"/>
      <c r="O559" s="675"/>
      <c r="P559" s="675"/>
      <c r="Q559" s="675"/>
      <c r="R559" s="675"/>
      <c r="S559" s="675"/>
      <c r="T559" s="675"/>
      <c r="U559" s="8"/>
      <c r="V559" s="8"/>
      <c r="W559" s="8"/>
      <c r="X559" s="8"/>
      <c r="Y559" s="8"/>
      <c r="Z559" s="8"/>
      <c r="AA559" s="8"/>
      <c r="AB559" s="8"/>
      <c r="AC559" s="8"/>
    </row>
    <row r="560" ht="12.75" customHeight="1" spans="1:29" x14ac:dyDescent="0.25">
      <c r="A560" s="8"/>
      <c r="B560" s="8"/>
      <c r="C560" s="8"/>
      <c r="D560" s="8"/>
      <c r="E560" s="8"/>
      <c r="F560" s="8"/>
      <c r="G560" s="8"/>
      <c r="H560" s="675"/>
      <c r="I560" s="675"/>
      <c r="J560" s="675"/>
      <c r="K560" s="675"/>
      <c r="L560" s="675"/>
      <c r="M560" s="675"/>
      <c r="N560" s="675"/>
      <c r="O560" s="675"/>
      <c r="P560" s="675"/>
      <c r="Q560" s="675"/>
      <c r="R560" s="675"/>
      <c r="S560" s="675"/>
      <c r="T560" s="675"/>
      <c r="U560" s="8"/>
      <c r="V560" s="8"/>
      <c r="W560" s="8"/>
      <c r="X560" s="8"/>
      <c r="Y560" s="8"/>
      <c r="Z560" s="8"/>
      <c r="AA560" s="8"/>
      <c r="AB560" s="8"/>
      <c r="AC560" s="8"/>
    </row>
    <row r="561" ht="12.75" customHeight="1" spans="1:29" x14ac:dyDescent="0.25">
      <c r="A561" s="8"/>
      <c r="B561" s="8"/>
      <c r="C561" s="8"/>
      <c r="D561" s="8"/>
      <c r="E561" s="8"/>
      <c r="F561" s="8"/>
      <c r="G561" s="8"/>
      <c r="H561" s="675"/>
      <c r="I561" s="675"/>
      <c r="J561" s="675"/>
      <c r="K561" s="675"/>
      <c r="L561" s="675"/>
      <c r="M561" s="675"/>
      <c r="N561" s="675"/>
      <c r="O561" s="675"/>
      <c r="P561" s="675"/>
      <c r="Q561" s="675"/>
      <c r="R561" s="675"/>
      <c r="S561" s="675"/>
      <c r="T561" s="675"/>
      <c r="U561" s="8"/>
      <c r="V561" s="8"/>
      <c r="W561" s="8"/>
      <c r="X561" s="8"/>
      <c r="Y561" s="8"/>
      <c r="Z561" s="8"/>
      <c r="AA561" s="8"/>
      <c r="AB561" s="8"/>
      <c r="AC561" s="8"/>
    </row>
    <row r="562" ht="12.75" customHeight="1" spans="1:29" x14ac:dyDescent="0.25">
      <c r="A562" s="8"/>
      <c r="B562" s="8"/>
      <c r="C562" s="8"/>
      <c r="D562" s="8"/>
      <c r="E562" s="8"/>
      <c r="F562" s="8"/>
      <c r="G562" s="8"/>
      <c r="H562" s="675"/>
      <c r="I562" s="675"/>
      <c r="J562" s="675"/>
      <c r="K562" s="675"/>
      <c r="L562" s="675"/>
      <c r="M562" s="675"/>
      <c r="N562" s="675"/>
      <c r="O562" s="675"/>
      <c r="P562" s="675"/>
      <c r="Q562" s="675"/>
      <c r="R562" s="675"/>
      <c r="S562" s="675"/>
      <c r="T562" s="675"/>
      <c r="U562" s="8"/>
      <c r="V562" s="8"/>
      <c r="W562" s="8"/>
      <c r="X562" s="8"/>
      <c r="Y562" s="8"/>
      <c r="Z562" s="8"/>
      <c r="AA562" s="8"/>
      <c r="AB562" s="8"/>
      <c r="AC562" s="8"/>
    </row>
    <row r="563" ht="12.75" customHeight="1" spans="1:29" x14ac:dyDescent="0.25">
      <c r="A563" s="8"/>
      <c r="B563" s="8"/>
      <c r="C563" s="8"/>
      <c r="D563" s="8"/>
      <c r="E563" s="8"/>
      <c r="F563" s="8"/>
      <c r="G563" s="8"/>
      <c r="H563" s="675"/>
      <c r="I563" s="675"/>
      <c r="J563" s="675"/>
      <c r="K563" s="675"/>
      <c r="L563" s="675"/>
      <c r="M563" s="675"/>
      <c r="N563" s="675"/>
      <c r="O563" s="675"/>
      <c r="P563" s="675"/>
      <c r="Q563" s="675"/>
      <c r="R563" s="675"/>
      <c r="S563" s="675"/>
      <c r="T563" s="675"/>
      <c r="U563" s="8"/>
      <c r="V563" s="8"/>
      <c r="W563" s="8"/>
      <c r="X563" s="8"/>
      <c r="Y563" s="8"/>
      <c r="Z563" s="8"/>
      <c r="AA563" s="8"/>
      <c r="AB563" s="8"/>
      <c r="AC563" s="8"/>
    </row>
    <row r="564" ht="12.75" customHeight="1" spans="1:29" x14ac:dyDescent="0.25">
      <c r="A564" s="8"/>
      <c r="B564" s="8"/>
      <c r="C564" s="8"/>
      <c r="D564" s="8"/>
      <c r="E564" s="8"/>
      <c r="F564" s="8"/>
      <c r="G564" s="8"/>
      <c r="H564" s="675"/>
      <c r="I564" s="675"/>
      <c r="J564" s="675"/>
      <c r="K564" s="675"/>
      <c r="L564" s="675"/>
      <c r="M564" s="675"/>
      <c r="N564" s="675"/>
      <c r="O564" s="675"/>
      <c r="P564" s="675"/>
      <c r="Q564" s="675"/>
      <c r="R564" s="675"/>
      <c r="S564" s="675"/>
      <c r="T564" s="675"/>
      <c r="U564" s="8"/>
      <c r="V564" s="8"/>
      <c r="W564" s="8"/>
      <c r="X564" s="8"/>
      <c r="Y564" s="8"/>
      <c r="Z564" s="8"/>
      <c r="AA564" s="8"/>
      <c r="AB564" s="8"/>
      <c r="AC564" s="8"/>
    </row>
    <row r="565" ht="12.75" customHeight="1" spans="1:29" x14ac:dyDescent="0.25">
      <c r="A565" s="8"/>
      <c r="B565" s="8"/>
      <c r="C565" s="8"/>
      <c r="D565" s="8"/>
      <c r="E565" s="8"/>
      <c r="F565" s="8"/>
      <c r="G565" s="8"/>
      <c r="H565" s="675"/>
      <c r="I565" s="675"/>
      <c r="J565" s="675"/>
      <c r="K565" s="675"/>
      <c r="L565" s="675"/>
      <c r="M565" s="675"/>
      <c r="N565" s="675"/>
      <c r="O565" s="675"/>
      <c r="P565" s="675"/>
      <c r="Q565" s="675"/>
      <c r="R565" s="675"/>
      <c r="S565" s="675"/>
      <c r="T565" s="675"/>
      <c r="U565" s="8"/>
      <c r="V565" s="8"/>
      <c r="W565" s="8"/>
      <c r="X565" s="8"/>
      <c r="Y565" s="8"/>
      <c r="Z565" s="8"/>
      <c r="AA565" s="8"/>
      <c r="AB565" s="8"/>
      <c r="AC565" s="8"/>
    </row>
    <row r="566" ht="12.75" customHeight="1" spans="1:29" x14ac:dyDescent="0.25">
      <c r="A566" s="8"/>
      <c r="B566" s="8"/>
      <c r="C566" s="8"/>
      <c r="D566" s="8"/>
      <c r="E566" s="8"/>
      <c r="F566" s="8"/>
      <c r="G566" s="8"/>
      <c r="H566" s="675"/>
      <c r="I566" s="675"/>
      <c r="J566" s="675"/>
      <c r="K566" s="675"/>
      <c r="L566" s="675"/>
      <c r="M566" s="675"/>
      <c r="N566" s="675"/>
      <c r="O566" s="675"/>
      <c r="P566" s="675"/>
      <c r="Q566" s="675"/>
      <c r="R566" s="675"/>
      <c r="S566" s="675"/>
      <c r="T566" s="675"/>
      <c r="U566" s="8"/>
      <c r="V566" s="8"/>
      <c r="W566" s="8"/>
      <c r="X566" s="8"/>
      <c r="Y566" s="8"/>
      <c r="Z566" s="8"/>
      <c r="AA566" s="8"/>
      <c r="AB566" s="8"/>
      <c r="AC566" s="8"/>
    </row>
    <row r="567" ht="12.75" customHeight="1" spans="1:29" x14ac:dyDescent="0.25">
      <c r="A567" s="8"/>
      <c r="B567" s="8"/>
      <c r="C567" s="8"/>
      <c r="D567" s="8"/>
      <c r="E567" s="8"/>
      <c r="F567" s="8"/>
      <c r="G567" s="8"/>
      <c r="H567" s="675"/>
      <c r="I567" s="675"/>
      <c r="J567" s="675"/>
      <c r="K567" s="675"/>
      <c r="L567" s="675"/>
      <c r="M567" s="675"/>
      <c r="N567" s="675"/>
      <c r="O567" s="675"/>
      <c r="P567" s="675"/>
      <c r="Q567" s="675"/>
      <c r="R567" s="675"/>
      <c r="S567" s="675"/>
      <c r="T567" s="675"/>
      <c r="U567" s="8"/>
      <c r="V567" s="8"/>
      <c r="W567" s="8"/>
      <c r="X567" s="8"/>
      <c r="Y567" s="8"/>
      <c r="Z567" s="8"/>
      <c r="AA567" s="8"/>
      <c r="AB567" s="8"/>
      <c r="AC567" s="8"/>
    </row>
    <row r="568" ht="12.75" customHeight="1" spans="1:29" x14ac:dyDescent="0.25">
      <c r="A568" s="8"/>
      <c r="B568" s="8"/>
      <c r="C568" s="8"/>
      <c r="D568" s="8"/>
      <c r="E568" s="8"/>
      <c r="F568" s="8"/>
      <c r="G568" s="8"/>
      <c r="H568" s="675"/>
      <c r="I568" s="675"/>
      <c r="J568" s="675"/>
      <c r="K568" s="675"/>
      <c r="L568" s="675"/>
      <c r="M568" s="675"/>
      <c r="N568" s="675"/>
      <c r="O568" s="675"/>
      <c r="P568" s="675"/>
      <c r="Q568" s="675"/>
      <c r="R568" s="675"/>
      <c r="S568" s="675"/>
      <c r="T568" s="675"/>
      <c r="U568" s="8"/>
      <c r="V568" s="8"/>
      <c r="W568" s="8"/>
      <c r="X568" s="8"/>
      <c r="Y568" s="8"/>
      <c r="Z568" s="8"/>
      <c r="AA568" s="8"/>
      <c r="AB568" s="8"/>
      <c r="AC568" s="8"/>
    </row>
    <row r="569" ht="12.75" customHeight="1" spans="1:29" x14ac:dyDescent="0.25">
      <c r="A569" s="8"/>
      <c r="B569" s="8"/>
      <c r="C569" s="8"/>
      <c r="D569" s="8"/>
      <c r="E569" s="8"/>
      <c r="F569" s="8"/>
      <c r="G569" s="8"/>
      <c r="H569" s="675"/>
      <c r="I569" s="675"/>
      <c r="J569" s="675"/>
      <c r="K569" s="675"/>
      <c r="L569" s="675"/>
      <c r="M569" s="675"/>
      <c r="N569" s="675"/>
      <c r="O569" s="675"/>
      <c r="P569" s="675"/>
      <c r="Q569" s="675"/>
      <c r="R569" s="675"/>
      <c r="S569" s="675"/>
      <c r="T569" s="675"/>
      <c r="U569" s="8"/>
      <c r="V569" s="8"/>
      <c r="W569" s="8"/>
      <c r="X569" s="8"/>
      <c r="Y569" s="8"/>
      <c r="Z569" s="8"/>
      <c r="AA569" s="8"/>
      <c r="AB569" s="8"/>
      <c r="AC569" s="8"/>
    </row>
    <row r="570" ht="12.75" customHeight="1" spans="1:29" x14ac:dyDescent="0.25">
      <c r="A570" s="8"/>
      <c r="B570" s="8"/>
      <c r="C570" s="8"/>
      <c r="D570" s="8"/>
      <c r="E570" s="8"/>
      <c r="F570" s="8"/>
      <c r="G570" s="8"/>
      <c r="H570" s="675"/>
      <c r="I570" s="675"/>
      <c r="J570" s="675"/>
      <c r="K570" s="675"/>
      <c r="L570" s="675"/>
      <c r="M570" s="675"/>
      <c r="N570" s="675"/>
      <c r="O570" s="675"/>
      <c r="P570" s="675"/>
      <c r="Q570" s="675"/>
      <c r="R570" s="675"/>
      <c r="S570" s="675"/>
      <c r="T570" s="675"/>
      <c r="U570" s="8"/>
      <c r="V570" s="8"/>
      <c r="W570" s="8"/>
      <c r="X570" s="8"/>
      <c r="Y570" s="8"/>
      <c r="Z570" s="8"/>
      <c r="AA570" s="8"/>
      <c r="AB570" s="8"/>
      <c r="AC570" s="8"/>
    </row>
    <row r="571" ht="12.75" customHeight="1" spans="1:29" x14ac:dyDescent="0.25">
      <c r="A571" s="8"/>
      <c r="B571" s="8"/>
      <c r="C571" s="8"/>
      <c r="D571" s="8"/>
      <c r="E571" s="8"/>
      <c r="F571" s="8"/>
      <c r="G571" s="8"/>
      <c r="H571" s="675"/>
      <c r="I571" s="675"/>
      <c r="J571" s="675"/>
      <c r="K571" s="675"/>
      <c r="L571" s="675"/>
      <c r="M571" s="675"/>
      <c r="N571" s="675"/>
      <c r="O571" s="675"/>
      <c r="P571" s="675"/>
      <c r="Q571" s="675"/>
      <c r="R571" s="675"/>
      <c r="S571" s="675"/>
      <c r="T571" s="675"/>
      <c r="U571" s="8"/>
      <c r="V571" s="8"/>
      <c r="W571" s="8"/>
      <c r="X571" s="8"/>
      <c r="Y571" s="8"/>
      <c r="Z571" s="8"/>
      <c r="AA571" s="8"/>
      <c r="AB571" s="8"/>
      <c r="AC571" s="8"/>
    </row>
    <row r="572" ht="12.75" customHeight="1" spans="1:29" x14ac:dyDescent="0.25">
      <c r="A572" s="8"/>
      <c r="B572" s="8"/>
      <c r="C572" s="8"/>
      <c r="D572" s="8"/>
      <c r="E572" s="8"/>
      <c r="F572" s="8"/>
      <c r="G572" s="8"/>
      <c r="H572" s="675"/>
      <c r="I572" s="675"/>
      <c r="J572" s="675"/>
      <c r="K572" s="675"/>
      <c r="L572" s="675"/>
      <c r="M572" s="675"/>
      <c r="N572" s="675"/>
      <c r="O572" s="675"/>
      <c r="P572" s="675"/>
      <c r="Q572" s="675"/>
      <c r="R572" s="675"/>
      <c r="S572" s="675"/>
      <c r="T572" s="675"/>
      <c r="U572" s="8"/>
      <c r="V572" s="8"/>
      <c r="W572" s="8"/>
      <c r="X572" s="8"/>
      <c r="Y572" s="8"/>
      <c r="Z572" s="8"/>
      <c r="AA572" s="8"/>
      <c r="AB572" s="8"/>
      <c r="AC572" s="8"/>
    </row>
    <row r="573" ht="12.75" customHeight="1" spans="1:29" x14ac:dyDescent="0.25">
      <c r="A573" s="8"/>
      <c r="B573" s="8"/>
      <c r="C573" s="8"/>
      <c r="D573" s="8"/>
      <c r="E573" s="8"/>
      <c r="F573" s="8"/>
      <c r="G573" s="8"/>
      <c r="H573" s="675"/>
      <c r="I573" s="675"/>
      <c r="J573" s="675"/>
      <c r="K573" s="675"/>
      <c r="L573" s="675"/>
      <c r="M573" s="675"/>
      <c r="N573" s="675"/>
      <c r="O573" s="675"/>
      <c r="P573" s="675"/>
      <c r="Q573" s="675"/>
      <c r="R573" s="675"/>
      <c r="S573" s="675"/>
      <c r="T573" s="675"/>
      <c r="U573" s="8"/>
      <c r="V573" s="8"/>
      <c r="W573" s="8"/>
      <c r="X573" s="8"/>
      <c r="Y573" s="8"/>
      <c r="Z573" s="8"/>
      <c r="AA573" s="8"/>
      <c r="AB573" s="8"/>
      <c r="AC573" s="8"/>
    </row>
    <row r="574" ht="12.75" customHeight="1" spans="1:29" x14ac:dyDescent="0.25">
      <c r="A574" s="8"/>
      <c r="B574" s="8"/>
      <c r="C574" s="8"/>
      <c r="D574" s="8"/>
      <c r="E574" s="8"/>
      <c r="F574" s="8"/>
      <c r="G574" s="8"/>
      <c r="H574" s="675"/>
      <c r="I574" s="675"/>
      <c r="J574" s="675"/>
      <c r="K574" s="675"/>
      <c r="L574" s="675"/>
      <c r="M574" s="675"/>
      <c r="N574" s="675"/>
      <c r="O574" s="675"/>
      <c r="P574" s="675"/>
      <c r="Q574" s="675"/>
      <c r="R574" s="675"/>
      <c r="S574" s="675"/>
      <c r="T574" s="675"/>
      <c r="U574" s="8"/>
      <c r="V574" s="8"/>
      <c r="W574" s="8"/>
      <c r="X574" s="8"/>
      <c r="Y574" s="8"/>
      <c r="Z574" s="8"/>
      <c r="AA574" s="8"/>
      <c r="AB574" s="8"/>
      <c r="AC574" s="8"/>
    </row>
    <row r="575" ht="12.75" customHeight="1" spans="1:29" x14ac:dyDescent="0.25">
      <c r="A575" s="8"/>
      <c r="B575" s="8"/>
      <c r="C575" s="8"/>
      <c r="D575" s="8"/>
      <c r="E575" s="8"/>
      <c r="F575" s="8"/>
      <c r="G575" s="8"/>
      <c r="H575" s="675"/>
      <c r="I575" s="675"/>
      <c r="J575" s="675"/>
      <c r="K575" s="675"/>
      <c r="L575" s="675"/>
      <c r="M575" s="675"/>
      <c r="N575" s="675"/>
      <c r="O575" s="675"/>
      <c r="P575" s="675"/>
      <c r="Q575" s="675"/>
      <c r="R575" s="675"/>
      <c r="S575" s="675"/>
      <c r="T575" s="675"/>
      <c r="U575" s="8"/>
      <c r="V575" s="8"/>
      <c r="W575" s="8"/>
      <c r="X575" s="8"/>
      <c r="Y575" s="8"/>
      <c r="Z575" s="8"/>
      <c r="AA575" s="8"/>
      <c r="AB575" s="8"/>
      <c r="AC575" s="8"/>
    </row>
    <row r="576" ht="12.75" customHeight="1" spans="1:29" x14ac:dyDescent="0.25">
      <c r="A576" s="8"/>
      <c r="B576" s="8"/>
      <c r="C576" s="8"/>
      <c r="D576" s="8"/>
      <c r="E576" s="8"/>
      <c r="F576" s="8"/>
      <c r="G576" s="8"/>
      <c r="H576" s="675"/>
      <c r="I576" s="675"/>
      <c r="J576" s="675"/>
      <c r="K576" s="675"/>
      <c r="L576" s="675"/>
      <c r="M576" s="675"/>
      <c r="N576" s="675"/>
      <c r="O576" s="675"/>
      <c r="P576" s="675"/>
      <c r="Q576" s="675"/>
      <c r="R576" s="675"/>
      <c r="S576" s="675"/>
      <c r="T576" s="675"/>
      <c r="U576" s="8"/>
      <c r="V576" s="8"/>
      <c r="W576" s="8"/>
      <c r="X576" s="8"/>
      <c r="Y576" s="8"/>
      <c r="Z576" s="8"/>
      <c r="AA576" s="8"/>
      <c r="AB576" s="8"/>
      <c r="AC576" s="8"/>
    </row>
    <row r="577" ht="12.75" customHeight="1" spans="1:29" x14ac:dyDescent="0.25">
      <c r="A577" s="8"/>
      <c r="B577" s="8"/>
      <c r="C577" s="8"/>
      <c r="D577" s="8"/>
      <c r="E577" s="8"/>
      <c r="F577" s="8"/>
      <c r="G577" s="8"/>
      <c r="H577" s="675"/>
      <c r="I577" s="675"/>
      <c r="J577" s="675"/>
      <c r="K577" s="675"/>
      <c r="L577" s="675"/>
      <c r="M577" s="675"/>
      <c r="N577" s="675"/>
      <c r="O577" s="675"/>
      <c r="P577" s="675"/>
      <c r="Q577" s="675"/>
      <c r="R577" s="675"/>
      <c r="S577" s="675"/>
      <c r="T577" s="675"/>
      <c r="U577" s="8"/>
      <c r="V577" s="8"/>
      <c r="W577" s="8"/>
      <c r="X577" s="8"/>
      <c r="Y577" s="8"/>
      <c r="Z577" s="8"/>
      <c r="AA577" s="8"/>
      <c r="AB577" s="8"/>
      <c r="AC577" s="8"/>
    </row>
    <row r="578" ht="12.75" customHeight="1" spans="1:29" x14ac:dyDescent="0.25">
      <c r="A578" s="8"/>
      <c r="B578" s="8"/>
      <c r="C578" s="8"/>
      <c r="D578" s="8"/>
      <c r="E578" s="8"/>
      <c r="F578" s="8"/>
      <c r="G578" s="8"/>
      <c r="H578" s="675"/>
      <c r="I578" s="675"/>
      <c r="J578" s="675"/>
      <c r="K578" s="675"/>
      <c r="L578" s="675"/>
      <c r="M578" s="675"/>
      <c r="N578" s="675"/>
      <c r="O578" s="675"/>
      <c r="P578" s="675"/>
      <c r="Q578" s="675"/>
      <c r="R578" s="675"/>
      <c r="S578" s="675"/>
      <c r="T578" s="675"/>
      <c r="U578" s="8"/>
      <c r="V578" s="8"/>
      <c r="W578" s="8"/>
      <c r="X578" s="8"/>
      <c r="Y578" s="8"/>
      <c r="Z578" s="8"/>
      <c r="AA578" s="8"/>
      <c r="AB578" s="8"/>
      <c r="AC578" s="8"/>
    </row>
    <row r="579" ht="12.75" customHeight="1" spans="1:29" x14ac:dyDescent="0.25">
      <c r="A579" s="8"/>
      <c r="B579" s="8"/>
      <c r="C579" s="8"/>
      <c r="D579" s="8"/>
      <c r="E579" s="8"/>
      <c r="F579" s="8"/>
      <c r="G579" s="8"/>
      <c r="H579" s="675"/>
      <c r="I579" s="675"/>
      <c r="J579" s="675"/>
      <c r="K579" s="675"/>
      <c r="L579" s="675"/>
      <c r="M579" s="675"/>
      <c r="N579" s="675"/>
      <c r="O579" s="675"/>
      <c r="P579" s="675"/>
      <c r="Q579" s="675"/>
      <c r="R579" s="675"/>
      <c r="S579" s="675"/>
      <c r="T579" s="675"/>
      <c r="U579" s="8"/>
      <c r="V579" s="8"/>
      <c r="W579" s="8"/>
      <c r="X579" s="8"/>
      <c r="Y579" s="8"/>
      <c r="Z579" s="8"/>
      <c r="AA579" s="8"/>
      <c r="AB579" s="8"/>
      <c r="AC579" s="8"/>
    </row>
    <row r="580" ht="12.75" customHeight="1" spans="1:29" x14ac:dyDescent="0.25">
      <c r="A580" s="8"/>
      <c r="B580" s="8"/>
      <c r="C580" s="8"/>
      <c r="D580" s="8"/>
      <c r="E580" s="8"/>
      <c r="F580" s="8"/>
      <c r="G580" s="8"/>
      <c r="H580" s="675"/>
      <c r="I580" s="675"/>
      <c r="J580" s="675"/>
      <c r="K580" s="675"/>
      <c r="L580" s="675"/>
      <c r="M580" s="675"/>
      <c r="N580" s="675"/>
      <c r="O580" s="675"/>
      <c r="P580" s="675"/>
      <c r="Q580" s="675"/>
      <c r="R580" s="675"/>
      <c r="S580" s="675"/>
      <c r="T580" s="675"/>
      <c r="U580" s="8"/>
      <c r="V580" s="8"/>
      <c r="W580" s="8"/>
      <c r="X580" s="8"/>
      <c r="Y580" s="8"/>
      <c r="Z580" s="8"/>
      <c r="AA580" s="8"/>
      <c r="AB580" s="8"/>
      <c r="AC580" s="8"/>
    </row>
    <row r="581" ht="12.75" customHeight="1" spans="1:29" x14ac:dyDescent="0.25">
      <c r="A581" s="8"/>
      <c r="B581" s="8"/>
      <c r="C581" s="8"/>
      <c r="D581" s="8"/>
      <c r="E581" s="8"/>
      <c r="F581" s="8"/>
      <c r="G581" s="8"/>
      <c r="H581" s="675"/>
      <c r="I581" s="675"/>
      <c r="J581" s="675"/>
      <c r="K581" s="675"/>
      <c r="L581" s="675"/>
      <c r="M581" s="675"/>
      <c r="N581" s="675"/>
      <c r="O581" s="675"/>
      <c r="P581" s="675"/>
      <c r="Q581" s="675"/>
      <c r="R581" s="675"/>
      <c r="S581" s="675"/>
      <c r="T581" s="675"/>
      <c r="U581" s="8"/>
      <c r="V581" s="8"/>
      <c r="W581" s="8"/>
      <c r="X581" s="8"/>
      <c r="Y581" s="8"/>
      <c r="Z581" s="8"/>
      <c r="AA581" s="8"/>
      <c r="AB581" s="8"/>
      <c r="AC581" s="8"/>
    </row>
    <row r="582" ht="12.75" customHeight="1" spans="1:29" x14ac:dyDescent="0.25">
      <c r="A582" s="8"/>
      <c r="B582" s="8"/>
      <c r="C582" s="8"/>
      <c r="D582" s="8"/>
      <c r="E582" s="8"/>
      <c r="F582" s="8"/>
      <c r="G582" s="8"/>
      <c r="H582" s="675"/>
      <c r="I582" s="675"/>
      <c r="J582" s="675"/>
      <c r="K582" s="675"/>
      <c r="L582" s="675"/>
      <c r="M582" s="675"/>
      <c r="N582" s="675"/>
      <c r="O582" s="675"/>
      <c r="P582" s="675"/>
      <c r="Q582" s="675"/>
      <c r="R582" s="675"/>
      <c r="S582" s="675"/>
      <c r="T582" s="675"/>
      <c r="U582" s="8"/>
      <c r="V582" s="8"/>
      <c r="W582" s="8"/>
      <c r="X582" s="8"/>
      <c r="Y582" s="8"/>
      <c r="Z582" s="8"/>
      <c r="AA582" s="8"/>
      <c r="AB582" s="8"/>
      <c r="AC582" s="8"/>
    </row>
    <row r="583" ht="12.75" customHeight="1" spans="1:29" x14ac:dyDescent="0.25">
      <c r="A583" s="8"/>
      <c r="B583" s="8"/>
      <c r="C583" s="8"/>
      <c r="D583" s="8"/>
      <c r="E583" s="8"/>
      <c r="F583" s="8"/>
      <c r="G583" s="8"/>
      <c r="H583" s="675"/>
      <c r="I583" s="675"/>
      <c r="J583" s="675"/>
      <c r="K583" s="675"/>
      <c r="L583" s="675"/>
      <c r="M583" s="675"/>
      <c r="N583" s="675"/>
      <c r="O583" s="675"/>
      <c r="P583" s="675"/>
      <c r="Q583" s="675"/>
      <c r="R583" s="675"/>
      <c r="S583" s="675"/>
      <c r="T583" s="675"/>
      <c r="U583" s="8"/>
      <c r="V583" s="8"/>
      <c r="W583" s="8"/>
      <c r="X583" s="8"/>
      <c r="Y583" s="8"/>
      <c r="Z583" s="8"/>
      <c r="AA583" s="8"/>
      <c r="AB583" s="8"/>
      <c r="AC583" s="8"/>
    </row>
    <row r="584" ht="12.75" customHeight="1" spans="1:29" x14ac:dyDescent="0.25">
      <c r="A584" s="8"/>
      <c r="B584" s="8"/>
      <c r="C584" s="8"/>
      <c r="D584" s="8"/>
      <c r="E584" s="8"/>
      <c r="F584" s="8"/>
      <c r="G584" s="8"/>
      <c r="H584" s="675"/>
      <c r="I584" s="675"/>
      <c r="J584" s="675"/>
      <c r="K584" s="675"/>
      <c r="L584" s="675"/>
      <c r="M584" s="675"/>
      <c r="N584" s="675"/>
      <c r="O584" s="675"/>
      <c r="P584" s="675"/>
      <c r="Q584" s="675"/>
      <c r="R584" s="675"/>
      <c r="S584" s="675"/>
      <c r="T584" s="675"/>
      <c r="U584" s="8"/>
      <c r="V584" s="8"/>
      <c r="W584" s="8"/>
      <c r="X584" s="8"/>
      <c r="Y584" s="8"/>
      <c r="Z584" s="8"/>
      <c r="AA584" s="8"/>
      <c r="AB584" s="8"/>
      <c r="AC584" s="8"/>
    </row>
    <row r="585" ht="12.75" customHeight="1" spans="1:29" x14ac:dyDescent="0.25">
      <c r="A585" s="8"/>
      <c r="B585" s="8"/>
      <c r="C585" s="8"/>
      <c r="D585" s="8"/>
      <c r="E585" s="8"/>
      <c r="F585" s="8"/>
      <c r="G585" s="8"/>
      <c r="H585" s="675"/>
      <c r="I585" s="675"/>
      <c r="J585" s="675"/>
      <c r="K585" s="675"/>
      <c r="L585" s="675"/>
      <c r="M585" s="675"/>
      <c r="N585" s="675"/>
      <c r="O585" s="675"/>
      <c r="P585" s="675"/>
      <c r="Q585" s="675"/>
      <c r="R585" s="675"/>
      <c r="S585" s="675"/>
      <c r="T585" s="675"/>
      <c r="U585" s="8"/>
      <c r="V585" s="8"/>
      <c r="W585" s="8"/>
      <c r="X585" s="8"/>
      <c r="Y585" s="8"/>
      <c r="Z585" s="8"/>
      <c r="AA585" s="8"/>
      <c r="AB585" s="8"/>
      <c r="AC585" s="8"/>
    </row>
    <row r="586" ht="12.75" customHeight="1" spans="1:29" x14ac:dyDescent="0.25">
      <c r="A586" s="8"/>
      <c r="B586" s="8"/>
      <c r="C586" s="8"/>
      <c r="D586" s="8"/>
      <c r="E586" s="8"/>
      <c r="F586" s="8"/>
      <c r="G586" s="8"/>
      <c r="H586" s="675"/>
      <c r="I586" s="675"/>
      <c r="J586" s="675"/>
      <c r="K586" s="675"/>
      <c r="L586" s="675"/>
      <c r="M586" s="675"/>
      <c r="N586" s="675"/>
      <c r="O586" s="675"/>
      <c r="P586" s="675"/>
      <c r="Q586" s="675"/>
      <c r="R586" s="675"/>
      <c r="S586" s="675"/>
      <c r="T586" s="675"/>
      <c r="U586" s="8"/>
      <c r="V586" s="8"/>
      <c r="W586" s="8"/>
      <c r="X586" s="8"/>
      <c r="Y586" s="8"/>
      <c r="Z586" s="8"/>
      <c r="AA586" s="8"/>
      <c r="AB586" s="8"/>
      <c r="AC586" s="8"/>
    </row>
    <row r="587" ht="12.75" customHeight="1" spans="1:29" x14ac:dyDescent="0.25">
      <c r="A587" s="8"/>
      <c r="B587" s="8"/>
      <c r="C587" s="8"/>
      <c r="D587" s="8"/>
      <c r="E587" s="8"/>
      <c r="F587" s="8"/>
      <c r="G587" s="8"/>
      <c r="H587" s="675"/>
      <c r="I587" s="675"/>
      <c r="J587" s="675"/>
      <c r="K587" s="675"/>
      <c r="L587" s="675"/>
      <c r="M587" s="675"/>
      <c r="N587" s="675"/>
      <c r="O587" s="675"/>
      <c r="P587" s="675"/>
      <c r="Q587" s="675"/>
      <c r="R587" s="675"/>
      <c r="S587" s="675"/>
      <c r="T587" s="675"/>
      <c r="U587" s="8"/>
      <c r="V587" s="8"/>
      <c r="W587" s="8"/>
      <c r="X587" s="8"/>
      <c r="Y587" s="8"/>
      <c r="Z587" s="8"/>
      <c r="AA587" s="8"/>
      <c r="AB587" s="8"/>
      <c r="AC587" s="8"/>
    </row>
    <row r="588" ht="12.75" customHeight="1" spans="1:29" x14ac:dyDescent="0.25">
      <c r="A588" s="8"/>
      <c r="B588" s="8"/>
      <c r="C588" s="8"/>
      <c r="D588" s="8"/>
      <c r="E588" s="8"/>
      <c r="F588" s="8"/>
      <c r="G588" s="8"/>
      <c r="H588" s="675"/>
      <c r="I588" s="675"/>
      <c r="J588" s="675"/>
      <c r="K588" s="675"/>
      <c r="L588" s="675"/>
      <c r="M588" s="675"/>
      <c r="N588" s="675"/>
      <c r="O588" s="675"/>
      <c r="P588" s="675"/>
      <c r="Q588" s="675"/>
      <c r="R588" s="675"/>
      <c r="S588" s="675"/>
      <c r="T588" s="675"/>
      <c r="U588" s="8"/>
      <c r="V588" s="8"/>
      <c r="W588" s="8"/>
      <c r="X588" s="8"/>
      <c r="Y588" s="8"/>
      <c r="Z588" s="8"/>
      <c r="AA588" s="8"/>
      <c r="AB588" s="8"/>
      <c r="AC588" s="8"/>
    </row>
    <row r="589" ht="12.75" customHeight="1" spans="1:29" x14ac:dyDescent="0.25">
      <c r="A589" s="8"/>
      <c r="B589" s="8"/>
      <c r="C589" s="8"/>
      <c r="D589" s="8"/>
      <c r="E589" s="8"/>
      <c r="F589" s="8"/>
      <c r="G589" s="8"/>
      <c r="H589" s="675"/>
      <c r="I589" s="675"/>
      <c r="J589" s="675"/>
      <c r="K589" s="675"/>
      <c r="L589" s="675"/>
      <c r="M589" s="675"/>
      <c r="N589" s="675"/>
      <c r="O589" s="675"/>
      <c r="P589" s="675"/>
      <c r="Q589" s="675"/>
      <c r="R589" s="675"/>
      <c r="S589" s="675"/>
      <c r="T589" s="675"/>
      <c r="U589" s="8"/>
      <c r="V589" s="8"/>
      <c r="W589" s="8"/>
      <c r="X589" s="8"/>
      <c r="Y589" s="8"/>
      <c r="Z589" s="8"/>
      <c r="AA589" s="8"/>
      <c r="AB589" s="8"/>
      <c r="AC589" s="8"/>
    </row>
    <row r="590" ht="12.75" customHeight="1" spans="1:29" x14ac:dyDescent="0.25">
      <c r="A590" s="8"/>
      <c r="B590" s="8"/>
      <c r="C590" s="8"/>
      <c r="D590" s="8"/>
      <c r="E590" s="8"/>
      <c r="F590" s="8"/>
      <c r="G590" s="8"/>
      <c r="H590" s="675"/>
      <c r="I590" s="675"/>
      <c r="J590" s="675"/>
      <c r="K590" s="675"/>
      <c r="L590" s="675"/>
      <c r="M590" s="675"/>
      <c r="N590" s="675"/>
      <c r="O590" s="675"/>
      <c r="P590" s="675"/>
      <c r="Q590" s="675"/>
      <c r="R590" s="675"/>
      <c r="S590" s="675"/>
      <c r="T590" s="675"/>
      <c r="U590" s="8"/>
      <c r="V590" s="8"/>
      <c r="W590" s="8"/>
      <c r="X590" s="8"/>
      <c r="Y590" s="8"/>
      <c r="Z590" s="8"/>
      <c r="AA590" s="8"/>
      <c r="AB590" s="8"/>
      <c r="AC590" s="8"/>
    </row>
    <row r="591" ht="12.75" customHeight="1" spans="1:29" x14ac:dyDescent="0.25">
      <c r="A591" s="8"/>
      <c r="B591" s="8"/>
      <c r="C591" s="8"/>
      <c r="D591" s="8"/>
      <c r="E591" s="8"/>
      <c r="F591" s="8"/>
      <c r="G591" s="8"/>
      <c r="H591" s="675"/>
      <c r="I591" s="675"/>
      <c r="J591" s="675"/>
      <c r="K591" s="675"/>
      <c r="L591" s="675"/>
      <c r="M591" s="675"/>
      <c r="N591" s="675"/>
      <c r="O591" s="675"/>
      <c r="P591" s="675"/>
      <c r="Q591" s="675"/>
      <c r="R591" s="675"/>
      <c r="S591" s="675"/>
      <c r="T591" s="675"/>
      <c r="U591" s="8"/>
      <c r="V591" s="8"/>
      <c r="W591" s="8"/>
      <c r="X591" s="8"/>
      <c r="Y591" s="8"/>
      <c r="Z591" s="8"/>
      <c r="AA591" s="8"/>
      <c r="AB591" s="8"/>
      <c r="AC591" s="8"/>
    </row>
    <row r="592" ht="12.75" customHeight="1" spans="1:29" x14ac:dyDescent="0.25">
      <c r="A592" s="8"/>
      <c r="B592" s="8"/>
      <c r="C592" s="8"/>
      <c r="D592" s="8"/>
      <c r="E592" s="8"/>
      <c r="F592" s="8"/>
      <c r="G592" s="8"/>
      <c r="H592" s="675"/>
      <c r="I592" s="675"/>
      <c r="J592" s="675"/>
      <c r="K592" s="675"/>
      <c r="L592" s="675"/>
      <c r="M592" s="675"/>
      <c r="N592" s="675"/>
      <c r="O592" s="675"/>
      <c r="P592" s="675"/>
      <c r="Q592" s="675"/>
      <c r="R592" s="675"/>
      <c r="S592" s="675"/>
      <c r="T592" s="675"/>
      <c r="U592" s="8"/>
      <c r="V592" s="8"/>
      <c r="W592" s="8"/>
      <c r="X592" s="8"/>
      <c r="Y592" s="8"/>
      <c r="Z592" s="8"/>
      <c r="AA592" s="8"/>
      <c r="AB592" s="8"/>
      <c r="AC592" s="8"/>
    </row>
    <row r="593" ht="12.75" customHeight="1" spans="1:29" x14ac:dyDescent="0.25">
      <c r="A593" s="8"/>
      <c r="B593" s="8"/>
      <c r="C593" s="8"/>
      <c r="D593" s="8"/>
      <c r="E593" s="8"/>
      <c r="F593" s="8"/>
      <c r="G593" s="8"/>
      <c r="H593" s="675"/>
      <c r="I593" s="675"/>
      <c r="J593" s="675"/>
      <c r="K593" s="675"/>
      <c r="L593" s="675"/>
      <c r="M593" s="675"/>
      <c r="N593" s="675"/>
      <c r="O593" s="675"/>
      <c r="P593" s="675"/>
      <c r="Q593" s="675"/>
      <c r="R593" s="675"/>
      <c r="S593" s="675"/>
      <c r="T593" s="675"/>
      <c r="U593" s="8"/>
      <c r="V593" s="8"/>
      <c r="W593" s="8"/>
      <c r="X593" s="8"/>
      <c r="Y593" s="8"/>
      <c r="Z593" s="8"/>
      <c r="AA593" s="8"/>
      <c r="AB593" s="8"/>
      <c r="AC593" s="8"/>
    </row>
    <row r="594" ht="12.75" customHeight="1" spans="1:29" x14ac:dyDescent="0.25">
      <c r="A594" s="8"/>
      <c r="B594" s="8"/>
      <c r="C594" s="8"/>
      <c r="D594" s="8"/>
      <c r="E594" s="8"/>
      <c r="F594" s="8"/>
      <c r="G594" s="8"/>
      <c r="H594" s="675"/>
      <c r="I594" s="675"/>
      <c r="J594" s="675"/>
      <c r="K594" s="675"/>
      <c r="L594" s="675"/>
      <c r="M594" s="675"/>
      <c r="N594" s="675"/>
      <c r="O594" s="675"/>
      <c r="P594" s="675"/>
      <c r="Q594" s="675"/>
      <c r="R594" s="675"/>
      <c r="S594" s="675"/>
      <c r="T594" s="675"/>
      <c r="U594" s="8"/>
      <c r="V594" s="8"/>
      <c r="W594" s="8"/>
      <c r="X594" s="8"/>
      <c r="Y594" s="8"/>
      <c r="Z594" s="8"/>
      <c r="AA594" s="8"/>
      <c r="AB594" s="8"/>
      <c r="AC594" s="8"/>
    </row>
    <row r="595" ht="12.75" customHeight="1" spans="1:29" x14ac:dyDescent="0.25">
      <c r="A595" s="8"/>
      <c r="B595" s="8"/>
      <c r="C595" s="8"/>
      <c r="D595" s="8"/>
      <c r="E595" s="8"/>
      <c r="F595" s="8"/>
      <c r="G595" s="8"/>
      <c r="H595" s="675"/>
      <c r="I595" s="675"/>
      <c r="J595" s="675"/>
      <c r="K595" s="675"/>
      <c r="L595" s="675"/>
      <c r="M595" s="675"/>
      <c r="N595" s="675"/>
      <c r="O595" s="675"/>
      <c r="P595" s="675"/>
      <c r="Q595" s="675"/>
      <c r="R595" s="675"/>
      <c r="S595" s="675"/>
      <c r="T595" s="675"/>
      <c r="U595" s="8"/>
      <c r="V595" s="8"/>
      <c r="W595" s="8"/>
      <c r="X595" s="8"/>
      <c r="Y595" s="8"/>
      <c r="Z595" s="8"/>
      <c r="AA595" s="8"/>
      <c r="AB595" s="8"/>
      <c r="AC595" s="8"/>
    </row>
    <row r="596" ht="12.75" customHeight="1" spans="1:29" x14ac:dyDescent="0.25">
      <c r="A596" s="8"/>
      <c r="B596" s="8"/>
      <c r="C596" s="8"/>
      <c r="D596" s="8"/>
      <c r="E596" s="8"/>
      <c r="F596" s="8"/>
      <c r="G596" s="8"/>
      <c r="H596" s="675"/>
      <c r="I596" s="675"/>
      <c r="J596" s="675"/>
      <c r="K596" s="675"/>
      <c r="L596" s="675"/>
      <c r="M596" s="675"/>
      <c r="N596" s="675"/>
      <c r="O596" s="675"/>
      <c r="P596" s="675"/>
      <c r="Q596" s="675"/>
      <c r="R596" s="675"/>
      <c r="S596" s="675"/>
      <c r="T596" s="675"/>
      <c r="U596" s="8"/>
      <c r="V596" s="8"/>
      <c r="W596" s="8"/>
      <c r="X596" s="8"/>
      <c r="Y596" s="8"/>
      <c r="Z596" s="8"/>
      <c r="AA596" s="8"/>
      <c r="AB596" s="8"/>
      <c r="AC596" s="8"/>
    </row>
    <row r="597" ht="12.75" customHeight="1" spans="1:29" x14ac:dyDescent="0.25">
      <c r="A597" s="8"/>
      <c r="B597" s="8"/>
      <c r="C597" s="8"/>
      <c r="D597" s="8"/>
      <c r="E597" s="8"/>
      <c r="F597" s="8"/>
      <c r="G597" s="8"/>
      <c r="H597" s="675"/>
      <c r="I597" s="675"/>
      <c r="J597" s="675"/>
      <c r="K597" s="675"/>
      <c r="L597" s="675"/>
      <c r="M597" s="675"/>
      <c r="N597" s="675"/>
      <c r="O597" s="675"/>
      <c r="P597" s="675"/>
      <c r="Q597" s="675"/>
      <c r="R597" s="675"/>
      <c r="S597" s="675"/>
      <c r="T597" s="675"/>
      <c r="U597" s="8"/>
      <c r="V597" s="8"/>
      <c r="W597" s="8"/>
      <c r="X597" s="8"/>
      <c r="Y597" s="8"/>
      <c r="Z597" s="8"/>
      <c r="AA597" s="8"/>
      <c r="AB597" s="8"/>
      <c r="AC597" s="8"/>
    </row>
    <row r="598" ht="12.75" customHeight="1" spans="1:29" x14ac:dyDescent="0.25">
      <c r="A598" s="8"/>
      <c r="B598" s="8"/>
      <c r="C598" s="8"/>
      <c r="D598" s="8"/>
      <c r="E598" s="8"/>
      <c r="F598" s="8"/>
      <c r="G598" s="8"/>
      <c r="H598" s="675"/>
      <c r="I598" s="675"/>
      <c r="J598" s="675"/>
      <c r="K598" s="675"/>
      <c r="L598" s="675"/>
      <c r="M598" s="675"/>
      <c r="N598" s="675"/>
      <c r="O598" s="675"/>
      <c r="P598" s="675"/>
      <c r="Q598" s="675"/>
      <c r="R598" s="675"/>
      <c r="S598" s="675"/>
      <c r="T598" s="675"/>
      <c r="U598" s="8"/>
      <c r="V598" s="8"/>
      <c r="W598" s="8"/>
      <c r="X598" s="8"/>
      <c r="Y598" s="8"/>
      <c r="Z598" s="8"/>
      <c r="AA598" s="8"/>
      <c r="AB598" s="8"/>
      <c r="AC598" s="8"/>
    </row>
    <row r="599" ht="12.75" customHeight="1" spans="1:29" x14ac:dyDescent="0.25">
      <c r="A599" s="8"/>
      <c r="B599" s="8"/>
      <c r="C599" s="8"/>
      <c r="D599" s="8"/>
      <c r="E599" s="8"/>
      <c r="F599" s="8"/>
      <c r="G599" s="8"/>
      <c r="H599" s="675"/>
      <c r="I599" s="675"/>
      <c r="J599" s="675"/>
      <c r="K599" s="675"/>
      <c r="L599" s="675"/>
      <c r="M599" s="675"/>
      <c r="N599" s="675"/>
      <c r="O599" s="675"/>
      <c r="P599" s="675"/>
      <c r="Q599" s="675"/>
      <c r="R599" s="675"/>
      <c r="S599" s="675"/>
      <c r="T599" s="675"/>
      <c r="U599" s="8"/>
      <c r="V599" s="8"/>
      <c r="W599" s="8"/>
      <c r="X599" s="8"/>
      <c r="Y599" s="8"/>
      <c r="Z599" s="8"/>
      <c r="AA599" s="8"/>
      <c r="AB599" s="8"/>
      <c r="AC599" s="8"/>
    </row>
    <row r="600" ht="12.75" customHeight="1" spans="1:29" x14ac:dyDescent="0.25">
      <c r="A600" s="8"/>
      <c r="B600" s="8"/>
      <c r="C600" s="8"/>
      <c r="D600" s="8"/>
      <c r="E600" s="8"/>
      <c r="F600" s="8"/>
      <c r="G600" s="8"/>
      <c r="H600" s="675"/>
      <c r="I600" s="675"/>
      <c r="J600" s="675"/>
      <c r="K600" s="675"/>
      <c r="L600" s="675"/>
      <c r="M600" s="675"/>
      <c r="N600" s="675"/>
      <c r="O600" s="675"/>
      <c r="P600" s="675"/>
      <c r="Q600" s="675"/>
      <c r="R600" s="675"/>
      <c r="S600" s="675"/>
      <c r="T600" s="675"/>
      <c r="U600" s="8"/>
      <c r="V600" s="8"/>
      <c r="W600" s="8"/>
      <c r="X600" s="8"/>
      <c r="Y600" s="8"/>
      <c r="Z600" s="8"/>
      <c r="AA600" s="8"/>
      <c r="AB600" s="8"/>
      <c r="AC600" s="8"/>
    </row>
    <row r="601" ht="12.75" customHeight="1" spans="1:29" x14ac:dyDescent="0.25">
      <c r="A601" s="8"/>
      <c r="B601" s="8"/>
      <c r="C601" s="8"/>
      <c r="D601" s="8"/>
      <c r="E601" s="8"/>
      <c r="F601" s="8"/>
      <c r="G601" s="8"/>
      <c r="H601" s="675"/>
      <c r="I601" s="675"/>
      <c r="J601" s="675"/>
      <c r="K601" s="675"/>
      <c r="L601" s="675"/>
      <c r="M601" s="675"/>
      <c r="N601" s="675"/>
      <c r="O601" s="675"/>
      <c r="P601" s="675"/>
      <c r="Q601" s="675"/>
      <c r="R601" s="675"/>
      <c r="S601" s="675"/>
      <c r="T601" s="675"/>
      <c r="U601" s="8"/>
      <c r="V601" s="8"/>
      <c r="W601" s="8"/>
      <c r="X601" s="8"/>
      <c r="Y601" s="8"/>
      <c r="Z601" s="8"/>
      <c r="AA601" s="8"/>
      <c r="AB601" s="8"/>
      <c r="AC601" s="8"/>
    </row>
    <row r="602" ht="12.75" customHeight="1" spans="1:29" x14ac:dyDescent="0.25">
      <c r="A602" s="8"/>
      <c r="B602" s="8"/>
      <c r="C602" s="8"/>
      <c r="D602" s="8"/>
      <c r="E602" s="8"/>
      <c r="F602" s="8"/>
      <c r="G602" s="8"/>
      <c r="H602" s="675"/>
      <c r="I602" s="675"/>
      <c r="J602" s="675"/>
      <c r="K602" s="675"/>
      <c r="L602" s="675"/>
      <c r="M602" s="675"/>
      <c r="N602" s="675"/>
      <c r="O602" s="675"/>
      <c r="P602" s="675"/>
      <c r="Q602" s="675"/>
      <c r="R602" s="675"/>
      <c r="S602" s="675"/>
      <c r="T602" s="675"/>
      <c r="U602" s="8"/>
      <c r="V602" s="8"/>
      <c r="W602" s="8"/>
      <c r="X602" s="8"/>
      <c r="Y602" s="8"/>
      <c r="Z602" s="8"/>
      <c r="AA602" s="8"/>
      <c r="AB602" s="8"/>
      <c r="AC602" s="8"/>
    </row>
    <row r="603" ht="12.75" customHeight="1" spans="1:29" x14ac:dyDescent="0.25">
      <c r="A603" s="8"/>
      <c r="B603" s="8"/>
      <c r="C603" s="8"/>
      <c r="D603" s="8"/>
      <c r="E603" s="8"/>
      <c r="F603" s="8"/>
      <c r="G603" s="8"/>
      <c r="H603" s="675"/>
      <c r="I603" s="675"/>
      <c r="J603" s="675"/>
      <c r="K603" s="675"/>
      <c r="L603" s="675"/>
      <c r="M603" s="675"/>
      <c r="N603" s="675"/>
      <c r="O603" s="675"/>
      <c r="P603" s="675"/>
      <c r="Q603" s="675"/>
      <c r="R603" s="675"/>
      <c r="S603" s="675"/>
      <c r="T603" s="675"/>
      <c r="U603" s="8"/>
      <c r="V603" s="8"/>
      <c r="W603" s="8"/>
      <c r="X603" s="8"/>
      <c r="Y603" s="8"/>
      <c r="Z603" s="8"/>
      <c r="AA603" s="8"/>
      <c r="AB603" s="8"/>
      <c r="AC603" s="8"/>
    </row>
    <row r="604" ht="12.75" customHeight="1" spans="1:29" x14ac:dyDescent="0.25">
      <c r="A604" s="8"/>
      <c r="B604" s="8"/>
      <c r="C604" s="8"/>
      <c r="D604" s="8"/>
      <c r="E604" s="8"/>
      <c r="F604" s="8"/>
      <c r="G604" s="8"/>
      <c r="H604" s="675"/>
      <c r="I604" s="675"/>
      <c r="J604" s="675"/>
      <c r="K604" s="675"/>
      <c r="L604" s="675"/>
      <c r="M604" s="675"/>
      <c r="N604" s="675"/>
      <c r="O604" s="675"/>
      <c r="P604" s="675"/>
      <c r="Q604" s="675"/>
      <c r="R604" s="675"/>
      <c r="S604" s="675"/>
      <c r="T604" s="675"/>
      <c r="U604" s="8"/>
      <c r="V604" s="8"/>
      <c r="W604" s="8"/>
      <c r="X604" s="8"/>
      <c r="Y604" s="8"/>
      <c r="Z604" s="8"/>
      <c r="AA604" s="8"/>
      <c r="AB604" s="8"/>
      <c r="AC604" s="8"/>
    </row>
    <row r="605" ht="12.75" customHeight="1" spans="1:29" x14ac:dyDescent="0.25">
      <c r="A605" s="8"/>
      <c r="B605" s="8"/>
      <c r="C605" s="8"/>
      <c r="D605" s="8"/>
      <c r="E605" s="8"/>
      <c r="F605" s="8"/>
      <c r="G605" s="8"/>
      <c r="H605" s="675"/>
      <c r="I605" s="675"/>
      <c r="J605" s="675"/>
      <c r="K605" s="675"/>
      <c r="L605" s="675"/>
      <c r="M605" s="675"/>
      <c r="N605" s="675"/>
      <c r="O605" s="675"/>
      <c r="P605" s="675"/>
      <c r="Q605" s="675"/>
      <c r="R605" s="675"/>
      <c r="S605" s="675"/>
      <c r="T605" s="675"/>
      <c r="U605" s="8"/>
      <c r="V605" s="8"/>
      <c r="W605" s="8"/>
      <c r="X605" s="8"/>
      <c r="Y605" s="8"/>
      <c r="Z605" s="8"/>
      <c r="AA605" s="8"/>
      <c r="AB605" s="8"/>
      <c r="AC605" s="8"/>
    </row>
    <row r="606" ht="12.75" customHeight="1" spans="1:29" x14ac:dyDescent="0.25">
      <c r="A606" s="8"/>
      <c r="B606" s="8"/>
      <c r="C606" s="8"/>
      <c r="D606" s="8"/>
      <c r="E606" s="8"/>
      <c r="F606" s="8"/>
      <c r="G606" s="8"/>
      <c r="H606" s="675"/>
      <c r="I606" s="675"/>
      <c r="J606" s="675"/>
      <c r="K606" s="675"/>
      <c r="L606" s="675"/>
      <c r="M606" s="675"/>
      <c r="N606" s="675"/>
      <c r="O606" s="675"/>
      <c r="P606" s="675"/>
      <c r="Q606" s="675"/>
      <c r="R606" s="675"/>
      <c r="S606" s="675"/>
      <c r="T606" s="675"/>
      <c r="U606" s="8"/>
      <c r="V606" s="8"/>
      <c r="W606" s="8"/>
      <c r="X606" s="8"/>
      <c r="Y606" s="8"/>
      <c r="Z606" s="8"/>
      <c r="AA606" s="8"/>
      <c r="AB606" s="8"/>
      <c r="AC606" s="8"/>
    </row>
    <row r="607" ht="12.75" customHeight="1" spans="1:29" x14ac:dyDescent="0.25">
      <c r="A607" s="8"/>
      <c r="B607" s="8"/>
      <c r="C607" s="8"/>
      <c r="D607" s="8"/>
      <c r="E607" s="8"/>
      <c r="F607" s="8"/>
      <c r="G607" s="8"/>
      <c r="H607" s="675"/>
      <c r="I607" s="675"/>
      <c r="J607" s="675"/>
      <c r="K607" s="675"/>
      <c r="L607" s="675"/>
      <c r="M607" s="675"/>
      <c r="N607" s="675"/>
      <c r="O607" s="675"/>
      <c r="P607" s="675"/>
      <c r="Q607" s="675"/>
      <c r="R607" s="675"/>
      <c r="S607" s="675"/>
      <c r="T607" s="675"/>
      <c r="U607" s="8"/>
      <c r="V607" s="8"/>
      <c r="W607" s="8"/>
      <c r="X607" s="8"/>
      <c r="Y607" s="8"/>
      <c r="Z607" s="8"/>
      <c r="AA607" s="8"/>
      <c r="AB607" s="8"/>
      <c r="AC607" s="8"/>
    </row>
    <row r="608" ht="12.75" customHeight="1" spans="1:29" x14ac:dyDescent="0.25">
      <c r="A608" s="8"/>
      <c r="B608" s="8"/>
      <c r="C608" s="8"/>
      <c r="D608" s="8"/>
      <c r="E608" s="8"/>
      <c r="F608" s="8"/>
      <c r="G608" s="8"/>
      <c r="H608" s="675"/>
      <c r="I608" s="675"/>
      <c r="J608" s="675"/>
      <c r="K608" s="675"/>
      <c r="L608" s="675"/>
      <c r="M608" s="675"/>
      <c r="N608" s="675"/>
      <c r="O608" s="675"/>
      <c r="P608" s="675"/>
      <c r="Q608" s="675"/>
      <c r="R608" s="675"/>
      <c r="S608" s="675"/>
      <c r="T608" s="675"/>
      <c r="U608" s="8"/>
      <c r="V608" s="8"/>
      <c r="W608" s="8"/>
      <c r="X608" s="8"/>
      <c r="Y608" s="8"/>
      <c r="Z608" s="8"/>
      <c r="AA608" s="8"/>
      <c r="AB608" s="8"/>
      <c r="AC608" s="8"/>
    </row>
    <row r="609" ht="12.75" customHeight="1" spans="1:29" x14ac:dyDescent="0.25">
      <c r="A609" s="8"/>
      <c r="B609" s="8"/>
      <c r="C609" s="8"/>
      <c r="D609" s="8"/>
      <c r="E609" s="8"/>
      <c r="F609" s="8"/>
      <c r="G609" s="8"/>
      <c r="H609" s="675"/>
      <c r="I609" s="675"/>
      <c r="J609" s="675"/>
      <c r="K609" s="675"/>
      <c r="L609" s="675"/>
      <c r="M609" s="675"/>
      <c r="N609" s="675"/>
      <c r="O609" s="675"/>
      <c r="P609" s="675"/>
      <c r="Q609" s="675"/>
      <c r="R609" s="675"/>
      <c r="S609" s="675"/>
      <c r="T609" s="675"/>
      <c r="U609" s="8"/>
      <c r="V609" s="8"/>
      <c r="W609" s="8"/>
      <c r="X609" s="8"/>
      <c r="Y609" s="8"/>
      <c r="Z609" s="8"/>
      <c r="AA609" s="8"/>
      <c r="AB609" s="8"/>
      <c r="AC609" s="8"/>
    </row>
    <row r="610" ht="12.75" customHeight="1" spans="1:29" x14ac:dyDescent="0.25">
      <c r="A610" s="8"/>
      <c r="B610" s="8"/>
      <c r="C610" s="8"/>
      <c r="D610" s="8"/>
      <c r="E610" s="8"/>
      <c r="F610" s="8"/>
      <c r="G610" s="8"/>
      <c r="H610" s="675"/>
      <c r="I610" s="675"/>
      <c r="J610" s="675"/>
      <c r="K610" s="675"/>
      <c r="L610" s="675"/>
      <c r="M610" s="675"/>
      <c r="N610" s="675"/>
      <c r="O610" s="675"/>
      <c r="P610" s="675"/>
      <c r="Q610" s="675"/>
      <c r="R610" s="675"/>
      <c r="S610" s="675"/>
      <c r="T610" s="675"/>
      <c r="U610" s="8"/>
      <c r="V610" s="8"/>
      <c r="W610" s="8"/>
      <c r="X610" s="8"/>
      <c r="Y610" s="8"/>
      <c r="Z610" s="8"/>
      <c r="AA610" s="8"/>
      <c r="AB610" s="8"/>
      <c r="AC610" s="8"/>
    </row>
    <row r="611" ht="12.75" customHeight="1" spans="1:29" x14ac:dyDescent="0.25">
      <c r="A611" s="8"/>
      <c r="B611" s="8"/>
      <c r="C611" s="8"/>
      <c r="D611" s="8"/>
      <c r="E611" s="8"/>
      <c r="F611" s="8"/>
      <c r="G611" s="8"/>
      <c r="H611" s="675"/>
      <c r="I611" s="675"/>
      <c r="J611" s="675"/>
      <c r="K611" s="675"/>
      <c r="L611" s="675"/>
      <c r="M611" s="675"/>
      <c r="N611" s="675"/>
      <c r="O611" s="675"/>
      <c r="P611" s="675"/>
      <c r="Q611" s="675"/>
      <c r="R611" s="675"/>
      <c r="S611" s="675"/>
      <c r="T611" s="675"/>
      <c r="U611" s="8"/>
      <c r="V611" s="8"/>
      <c r="W611" s="8"/>
      <c r="X611" s="8"/>
      <c r="Y611" s="8"/>
      <c r="Z611" s="8"/>
      <c r="AA611" s="8"/>
      <c r="AB611" s="8"/>
      <c r="AC611" s="8"/>
    </row>
    <row r="612" ht="12.75" customHeight="1" spans="1:29" x14ac:dyDescent="0.25">
      <c r="A612" s="8"/>
      <c r="B612" s="8"/>
      <c r="C612" s="8"/>
      <c r="D612" s="8"/>
      <c r="E612" s="8"/>
      <c r="F612" s="8"/>
      <c r="G612" s="8"/>
      <c r="H612" s="675"/>
      <c r="I612" s="675"/>
      <c r="J612" s="675"/>
      <c r="K612" s="675"/>
      <c r="L612" s="675"/>
      <c r="M612" s="675"/>
      <c r="N612" s="675"/>
      <c r="O612" s="675"/>
      <c r="P612" s="675"/>
      <c r="Q612" s="675"/>
      <c r="R612" s="675"/>
      <c r="S612" s="675"/>
      <c r="T612" s="675"/>
      <c r="U612" s="8"/>
      <c r="V612" s="8"/>
      <c r="W612" s="8"/>
      <c r="X612" s="8"/>
      <c r="Y612" s="8"/>
      <c r="Z612" s="8"/>
      <c r="AA612" s="8"/>
      <c r="AB612" s="8"/>
      <c r="AC612" s="8"/>
    </row>
    <row r="613" ht="12.75" customHeight="1" spans="1:29" x14ac:dyDescent="0.25">
      <c r="A613" s="8"/>
      <c r="B613" s="8"/>
      <c r="C613" s="8"/>
      <c r="D613" s="8"/>
      <c r="E613" s="8"/>
      <c r="F613" s="8"/>
      <c r="G613" s="8"/>
      <c r="H613" s="675"/>
      <c r="I613" s="675"/>
      <c r="J613" s="675"/>
      <c r="K613" s="675"/>
      <c r="L613" s="675"/>
      <c r="M613" s="675"/>
      <c r="N613" s="675"/>
      <c r="O613" s="675"/>
      <c r="P613" s="675"/>
      <c r="Q613" s="675"/>
      <c r="R613" s="675"/>
      <c r="S613" s="675"/>
      <c r="T613" s="675"/>
      <c r="U613" s="8"/>
      <c r="V613" s="8"/>
      <c r="W613" s="8"/>
      <c r="X613" s="8"/>
      <c r="Y613" s="8"/>
      <c r="Z613" s="8"/>
      <c r="AA613" s="8"/>
      <c r="AB613" s="8"/>
      <c r="AC613" s="8"/>
    </row>
    <row r="614" ht="12.75" customHeight="1" spans="1:29" x14ac:dyDescent="0.25">
      <c r="A614" s="8"/>
      <c r="B614" s="8"/>
      <c r="C614" s="8"/>
      <c r="D614" s="8"/>
      <c r="E614" s="8"/>
      <c r="F614" s="8"/>
      <c r="G614" s="8"/>
      <c r="H614" s="675"/>
      <c r="I614" s="675"/>
      <c r="J614" s="675"/>
      <c r="K614" s="675"/>
      <c r="L614" s="675"/>
      <c r="M614" s="675"/>
      <c r="N614" s="675"/>
      <c r="O614" s="675"/>
      <c r="P614" s="675"/>
      <c r="Q614" s="675"/>
      <c r="R614" s="675"/>
      <c r="S614" s="675"/>
      <c r="T614" s="675"/>
      <c r="U614" s="8"/>
      <c r="V614" s="8"/>
      <c r="W614" s="8"/>
      <c r="X614" s="8"/>
      <c r="Y614" s="8"/>
      <c r="Z614" s="8"/>
      <c r="AA614" s="8"/>
      <c r="AB614" s="8"/>
      <c r="AC614" s="8"/>
    </row>
    <row r="615" ht="12.75" customHeight="1" spans="1:29" x14ac:dyDescent="0.25">
      <c r="A615" s="8"/>
      <c r="B615" s="8"/>
      <c r="C615" s="8"/>
      <c r="D615" s="8"/>
      <c r="E615" s="8"/>
      <c r="F615" s="8"/>
      <c r="G615" s="8"/>
      <c r="H615" s="675"/>
      <c r="I615" s="675"/>
      <c r="J615" s="675"/>
      <c r="K615" s="675"/>
      <c r="L615" s="675"/>
      <c r="M615" s="675"/>
      <c r="N615" s="675"/>
      <c r="O615" s="675"/>
      <c r="P615" s="675"/>
      <c r="Q615" s="675"/>
      <c r="R615" s="675"/>
      <c r="S615" s="675"/>
      <c r="T615" s="675"/>
      <c r="U615" s="8"/>
      <c r="V615" s="8"/>
      <c r="W615" s="8"/>
      <c r="X615" s="8"/>
      <c r="Y615" s="8"/>
      <c r="Z615" s="8"/>
      <c r="AA615" s="8"/>
      <c r="AB615" s="8"/>
      <c r="AC615" s="8"/>
    </row>
    <row r="616" ht="12.75" customHeight="1" spans="1:29" x14ac:dyDescent="0.25">
      <c r="A616" s="8"/>
      <c r="B616" s="8"/>
      <c r="C616" s="8"/>
      <c r="D616" s="8"/>
      <c r="E616" s="8"/>
      <c r="F616" s="8"/>
      <c r="G616" s="8"/>
      <c r="H616" s="675"/>
      <c r="I616" s="675"/>
      <c r="J616" s="675"/>
      <c r="K616" s="675"/>
      <c r="L616" s="675"/>
      <c r="M616" s="675"/>
      <c r="N616" s="675"/>
      <c r="O616" s="675"/>
      <c r="P616" s="675"/>
      <c r="Q616" s="675"/>
      <c r="R616" s="675"/>
      <c r="S616" s="675"/>
      <c r="T616" s="675"/>
      <c r="U616" s="8"/>
      <c r="V616" s="8"/>
      <c r="W616" s="8"/>
      <c r="X616" s="8"/>
      <c r="Y616" s="8"/>
      <c r="Z616" s="8"/>
      <c r="AA616" s="8"/>
      <c r="AB616" s="8"/>
      <c r="AC616" s="8"/>
    </row>
    <row r="617" ht="12.75" customHeight="1" spans="1:29" x14ac:dyDescent="0.25">
      <c r="A617" s="8"/>
      <c r="B617" s="8"/>
      <c r="C617" s="8"/>
      <c r="D617" s="8"/>
      <c r="E617" s="8"/>
      <c r="F617" s="8"/>
      <c r="G617" s="8"/>
      <c r="H617" s="675"/>
      <c r="I617" s="675"/>
      <c r="J617" s="675"/>
      <c r="K617" s="675"/>
      <c r="L617" s="675"/>
      <c r="M617" s="675"/>
      <c r="N617" s="675"/>
      <c r="O617" s="675"/>
      <c r="P617" s="675"/>
      <c r="Q617" s="675"/>
      <c r="R617" s="675"/>
      <c r="S617" s="675"/>
      <c r="T617" s="675"/>
      <c r="U617" s="8"/>
      <c r="V617" s="8"/>
      <c r="W617" s="8"/>
      <c r="X617" s="8"/>
      <c r="Y617" s="8"/>
      <c r="Z617" s="8"/>
      <c r="AA617" s="8"/>
      <c r="AB617" s="8"/>
      <c r="AC617" s="8"/>
    </row>
    <row r="618" ht="12.75" customHeight="1" spans="1:29" x14ac:dyDescent="0.25">
      <c r="A618" s="8"/>
      <c r="B618" s="8"/>
      <c r="C618" s="8"/>
      <c r="D618" s="8"/>
      <c r="E618" s="8"/>
      <c r="F618" s="8"/>
      <c r="G618" s="8"/>
      <c r="H618" s="675"/>
      <c r="I618" s="675"/>
      <c r="J618" s="675"/>
      <c r="K618" s="675"/>
      <c r="L618" s="675"/>
      <c r="M618" s="675"/>
      <c r="N618" s="675"/>
      <c r="O618" s="675"/>
      <c r="P618" s="675"/>
      <c r="Q618" s="675"/>
      <c r="R618" s="675"/>
      <c r="S618" s="675"/>
      <c r="T618" s="675"/>
      <c r="U618" s="8"/>
      <c r="V618" s="8"/>
      <c r="W618" s="8"/>
      <c r="X618" s="8"/>
      <c r="Y618" s="8"/>
      <c r="Z618" s="8"/>
      <c r="AA618" s="8"/>
      <c r="AB618" s="8"/>
      <c r="AC618" s="8"/>
    </row>
    <row r="619" ht="12.75" customHeight="1" spans="1:29" x14ac:dyDescent="0.25">
      <c r="A619" s="8"/>
      <c r="B619" s="8"/>
      <c r="C619" s="8"/>
      <c r="D619" s="8"/>
      <c r="E619" s="8"/>
      <c r="F619" s="8"/>
      <c r="G619" s="8"/>
      <c r="H619" s="675"/>
      <c r="I619" s="675"/>
      <c r="J619" s="675"/>
      <c r="K619" s="675"/>
      <c r="L619" s="675"/>
      <c r="M619" s="675"/>
      <c r="N619" s="675"/>
      <c r="O619" s="675"/>
      <c r="P619" s="675"/>
      <c r="Q619" s="675"/>
      <c r="R619" s="675"/>
      <c r="S619" s="675"/>
      <c r="T619" s="675"/>
      <c r="U619" s="8"/>
      <c r="V619" s="8"/>
      <c r="W619" s="8"/>
      <c r="X619" s="8"/>
      <c r="Y619" s="8"/>
      <c r="Z619" s="8"/>
      <c r="AA619" s="8"/>
      <c r="AB619" s="8"/>
      <c r="AC619" s="8"/>
    </row>
    <row r="620" ht="12.75" customHeight="1" spans="1:29" x14ac:dyDescent="0.25">
      <c r="A620" s="8"/>
      <c r="B620" s="8"/>
      <c r="C620" s="8"/>
      <c r="D620" s="8"/>
      <c r="E620" s="8"/>
      <c r="F620" s="8"/>
      <c r="G620" s="8"/>
      <c r="H620" s="675"/>
      <c r="I620" s="675"/>
      <c r="J620" s="675"/>
      <c r="K620" s="675"/>
      <c r="L620" s="675"/>
      <c r="M620" s="675"/>
      <c r="N620" s="675"/>
      <c r="O620" s="675"/>
      <c r="P620" s="675"/>
      <c r="Q620" s="675"/>
      <c r="R620" s="675"/>
      <c r="S620" s="675"/>
      <c r="T620" s="675"/>
      <c r="U620" s="8"/>
      <c r="V620" s="8"/>
      <c r="W620" s="8"/>
      <c r="X620" s="8"/>
      <c r="Y620" s="8"/>
      <c r="Z620" s="8"/>
      <c r="AA620" s="8"/>
      <c r="AB620" s="8"/>
      <c r="AC620" s="8"/>
    </row>
    <row r="621" ht="12.75" customHeight="1" spans="1:29" x14ac:dyDescent="0.25">
      <c r="A621" s="8"/>
      <c r="B621" s="8"/>
      <c r="C621" s="8"/>
      <c r="D621" s="8"/>
      <c r="E621" s="8"/>
      <c r="F621" s="8"/>
      <c r="G621" s="8"/>
      <c r="H621" s="675"/>
      <c r="I621" s="675"/>
      <c r="J621" s="675"/>
      <c r="K621" s="675"/>
      <c r="L621" s="675"/>
      <c r="M621" s="675"/>
      <c r="N621" s="675"/>
      <c r="O621" s="675"/>
      <c r="P621" s="675"/>
      <c r="Q621" s="675"/>
      <c r="R621" s="675"/>
      <c r="S621" s="675"/>
      <c r="T621" s="675"/>
      <c r="U621" s="8"/>
      <c r="V621" s="8"/>
      <c r="W621" s="8"/>
      <c r="X621" s="8"/>
      <c r="Y621" s="8"/>
      <c r="Z621" s="8"/>
      <c r="AA621" s="8"/>
      <c r="AB621" s="8"/>
      <c r="AC621" s="8"/>
    </row>
    <row r="622" ht="12.75" customHeight="1" spans="1:29" x14ac:dyDescent="0.25">
      <c r="A622" s="8"/>
      <c r="B622" s="8"/>
      <c r="C622" s="8"/>
      <c r="D622" s="8"/>
      <c r="E622" s="8"/>
      <c r="F622" s="8"/>
      <c r="G622" s="8"/>
      <c r="H622" s="675"/>
      <c r="I622" s="675"/>
      <c r="J622" s="675"/>
      <c r="K622" s="675"/>
      <c r="L622" s="675"/>
      <c r="M622" s="675"/>
      <c r="N622" s="675"/>
      <c r="O622" s="675"/>
      <c r="P622" s="675"/>
      <c r="Q622" s="675"/>
      <c r="R622" s="675"/>
      <c r="S622" s="675"/>
      <c r="T622" s="675"/>
      <c r="U622" s="8"/>
      <c r="V622" s="8"/>
      <c r="W622" s="8"/>
      <c r="X622" s="8"/>
      <c r="Y622" s="8"/>
      <c r="Z622" s="8"/>
      <c r="AA622" s="8"/>
      <c r="AB622" s="8"/>
      <c r="AC622" s="8"/>
    </row>
    <row r="623" ht="12.75" customHeight="1" spans="1:29" x14ac:dyDescent="0.25">
      <c r="A623" s="8"/>
      <c r="B623" s="8"/>
      <c r="C623" s="8"/>
      <c r="D623" s="8"/>
      <c r="E623" s="8"/>
      <c r="F623" s="8"/>
      <c r="G623" s="8"/>
      <c r="H623" s="675"/>
      <c r="I623" s="675"/>
      <c r="J623" s="675"/>
      <c r="K623" s="675"/>
      <c r="L623" s="675"/>
      <c r="M623" s="675"/>
      <c r="N623" s="675"/>
      <c r="O623" s="675"/>
      <c r="P623" s="675"/>
      <c r="Q623" s="675"/>
      <c r="R623" s="675"/>
      <c r="S623" s="675"/>
      <c r="T623" s="675"/>
      <c r="U623" s="8"/>
      <c r="V623" s="8"/>
      <c r="W623" s="8"/>
      <c r="X623" s="8"/>
      <c r="Y623" s="8"/>
      <c r="Z623" s="8"/>
      <c r="AA623" s="8"/>
      <c r="AB623" s="8"/>
      <c r="AC623" s="8"/>
    </row>
    <row r="624" ht="12.75" customHeight="1" spans="1:29" x14ac:dyDescent="0.25">
      <c r="A624" s="8"/>
      <c r="B624" s="8"/>
      <c r="C624" s="8"/>
      <c r="D624" s="8"/>
      <c r="E624" s="8"/>
      <c r="F624" s="8"/>
      <c r="G624" s="8"/>
      <c r="H624" s="675"/>
      <c r="I624" s="675"/>
      <c r="J624" s="675"/>
      <c r="K624" s="675"/>
      <c r="L624" s="675"/>
      <c r="M624" s="675"/>
      <c r="N624" s="675"/>
      <c r="O624" s="675"/>
      <c r="P624" s="675"/>
      <c r="Q624" s="675"/>
      <c r="R624" s="675"/>
      <c r="S624" s="675"/>
      <c r="T624" s="675"/>
      <c r="U624" s="8"/>
      <c r="V624" s="8"/>
      <c r="W624" s="8"/>
      <c r="X624" s="8"/>
      <c r="Y624" s="8"/>
      <c r="Z624" s="8"/>
      <c r="AA624" s="8"/>
      <c r="AB624" s="8"/>
      <c r="AC624" s="8"/>
    </row>
    <row r="625" ht="12.75" customHeight="1" spans="1:29" x14ac:dyDescent="0.25">
      <c r="A625" s="8"/>
      <c r="B625" s="8"/>
      <c r="C625" s="8"/>
      <c r="D625" s="8"/>
      <c r="E625" s="8"/>
      <c r="F625" s="8"/>
      <c r="G625" s="8"/>
      <c r="H625" s="675"/>
      <c r="I625" s="675"/>
      <c r="J625" s="675"/>
      <c r="K625" s="675"/>
      <c r="L625" s="675"/>
      <c r="M625" s="675"/>
      <c r="N625" s="675"/>
      <c r="O625" s="675"/>
      <c r="P625" s="675"/>
      <c r="Q625" s="675"/>
      <c r="R625" s="675"/>
      <c r="S625" s="675"/>
      <c r="T625" s="675"/>
      <c r="U625" s="8"/>
      <c r="V625" s="8"/>
      <c r="W625" s="8"/>
      <c r="X625" s="8"/>
      <c r="Y625" s="8"/>
      <c r="Z625" s="8"/>
      <c r="AA625" s="8"/>
      <c r="AB625" s="8"/>
      <c r="AC625" s="8"/>
    </row>
    <row r="626" ht="12.75" customHeight="1" spans="1:29" x14ac:dyDescent="0.25">
      <c r="A626" s="8"/>
      <c r="B626" s="8"/>
      <c r="C626" s="8"/>
      <c r="D626" s="8"/>
      <c r="E626" s="8"/>
      <c r="F626" s="8"/>
      <c r="G626" s="8"/>
      <c r="H626" s="675"/>
      <c r="I626" s="675"/>
      <c r="J626" s="675"/>
      <c r="K626" s="675"/>
      <c r="L626" s="675"/>
      <c r="M626" s="675"/>
      <c r="N626" s="675"/>
      <c r="O626" s="675"/>
      <c r="P626" s="675"/>
      <c r="Q626" s="675"/>
      <c r="R626" s="675"/>
      <c r="S626" s="675"/>
      <c r="T626" s="675"/>
      <c r="U626" s="8"/>
      <c r="V626" s="8"/>
      <c r="W626" s="8"/>
      <c r="X626" s="8"/>
      <c r="Y626" s="8"/>
      <c r="Z626" s="8"/>
      <c r="AA626" s="8"/>
      <c r="AB626" s="8"/>
      <c r="AC626" s="8"/>
    </row>
    <row r="627" ht="12.75" customHeight="1" spans="1:29" x14ac:dyDescent="0.25">
      <c r="A627" s="8"/>
      <c r="B627" s="8"/>
      <c r="C627" s="8"/>
      <c r="D627" s="8"/>
      <c r="E627" s="8"/>
      <c r="F627" s="8"/>
      <c r="G627" s="8"/>
      <c r="H627" s="675"/>
      <c r="I627" s="675"/>
      <c r="J627" s="675"/>
      <c r="K627" s="675"/>
      <c r="L627" s="675"/>
      <c r="M627" s="675"/>
      <c r="N627" s="675"/>
      <c r="O627" s="675"/>
      <c r="P627" s="675"/>
      <c r="Q627" s="675"/>
      <c r="R627" s="675"/>
      <c r="S627" s="675"/>
      <c r="T627" s="675"/>
      <c r="U627" s="8"/>
      <c r="V627" s="8"/>
      <c r="W627" s="8"/>
      <c r="X627" s="8"/>
      <c r="Y627" s="8"/>
      <c r="Z627" s="8"/>
      <c r="AA627" s="8"/>
      <c r="AB627" s="8"/>
      <c r="AC627" s="8"/>
    </row>
    <row r="628" ht="12.75" customHeight="1" spans="1:29" x14ac:dyDescent="0.25">
      <c r="A628" s="8"/>
      <c r="B628" s="8"/>
      <c r="C628" s="8"/>
      <c r="D628" s="8"/>
      <c r="E628" s="8"/>
      <c r="F628" s="8"/>
      <c r="G628" s="8"/>
      <c r="H628" s="675"/>
      <c r="I628" s="675"/>
      <c r="J628" s="675"/>
      <c r="K628" s="675"/>
      <c r="L628" s="675"/>
      <c r="M628" s="675"/>
      <c r="N628" s="675"/>
      <c r="O628" s="675"/>
      <c r="P628" s="675"/>
      <c r="Q628" s="675"/>
      <c r="R628" s="675"/>
      <c r="S628" s="675"/>
      <c r="T628" s="675"/>
      <c r="U628" s="8"/>
      <c r="V628" s="8"/>
      <c r="W628" s="8"/>
      <c r="X628" s="8"/>
      <c r="Y628" s="8"/>
      <c r="Z628" s="8"/>
      <c r="AA628" s="8"/>
      <c r="AB628" s="8"/>
      <c r="AC628" s="8"/>
    </row>
    <row r="629" ht="12.75" customHeight="1" spans="1:29" x14ac:dyDescent="0.25">
      <c r="A629" s="8"/>
      <c r="B629" s="8"/>
      <c r="C629" s="8"/>
      <c r="D629" s="8"/>
      <c r="E629" s="8"/>
      <c r="F629" s="8"/>
      <c r="G629" s="8"/>
      <c r="H629" s="675"/>
      <c r="I629" s="675"/>
      <c r="J629" s="675"/>
      <c r="K629" s="675"/>
      <c r="L629" s="675"/>
      <c r="M629" s="675"/>
      <c r="N629" s="675"/>
      <c r="O629" s="675"/>
      <c r="P629" s="675"/>
      <c r="Q629" s="675"/>
      <c r="R629" s="675"/>
      <c r="S629" s="675"/>
      <c r="T629" s="675"/>
      <c r="U629" s="8"/>
      <c r="V629" s="8"/>
      <c r="W629" s="8"/>
      <c r="X629" s="8"/>
      <c r="Y629" s="8"/>
      <c r="Z629" s="8"/>
      <c r="AA629" s="8"/>
      <c r="AB629" s="8"/>
      <c r="AC629" s="8"/>
    </row>
    <row r="630" ht="12.75" customHeight="1" spans="1:29" x14ac:dyDescent="0.25">
      <c r="A630" s="8"/>
      <c r="B630" s="8"/>
      <c r="C630" s="8"/>
      <c r="D630" s="8"/>
      <c r="E630" s="8"/>
      <c r="F630" s="8"/>
      <c r="G630" s="8"/>
      <c r="H630" s="675"/>
      <c r="I630" s="675"/>
      <c r="J630" s="675"/>
      <c r="K630" s="675"/>
      <c r="L630" s="675"/>
      <c r="M630" s="675"/>
      <c r="N630" s="675"/>
      <c r="O630" s="675"/>
      <c r="P630" s="675"/>
      <c r="Q630" s="675"/>
      <c r="R630" s="675"/>
      <c r="S630" s="675"/>
      <c r="T630" s="675"/>
      <c r="U630" s="8"/>
      <c r="V630" s="8"/>
      <c r="W630" s="8"/>
      <c r="X630" s="8"/>
      <c r="Y630" s="8"/>
      <c r="Z630" s="8"/>
      <c r="AA630" s="8"/>
      <c r="AB630" s="8"/>
      <c r="AC630" s="8"/>
    </row>
    <row r="631" ht="12.75" customHeight="1" spans="1:29" x14ac:dyDescent="0.25">
      <c r="A631" s="8"/>
      <c r="B631" s="8"/>
      <c r="C631" s="8"/>
      <c r="D631" s="8"/>
      <c r="E631" s="8"/>
      <c r="F631" s="8"/>
      <c r="G631" s="8"/>
      <c r="H631" s="675"/>
      <c r="I631" s="675"/>
      <c r="J631" s="675"/>
      <c r="K631" s="675"/>
      <c r="L631" s="675"/>
      <c r="M631" s="675"/>
      <c r="N631" s="675"/>
      <c r="O631" s="675"/>
      <c r="P631" s="675"/>
      <c r="Q631" s="675"/>
      <c r="R631" s="675"/>
      <c r="S631" s="675"/>
      <c r="T631" s="675"/>
      <c r="U631" s="8"/>
      <c r="V631" s="8"/>
      <c r="W631" s="8"/>
      <c r="X631" s="8"/>
      <c r="Y631" s="8"/>
      <c r="Z631" s="8"/>
      <c r="AA631" s="8"/>
      <c r="AB631" s="8"/>
      <c r="AC631" s="8"/>
    </row>
    <row r="632" ht="12.75" customHeight="1" spans="1:29" x14ac:dyDescent="0.25">
      <c r="A632" s="8"/>
      <c r="B632" s="8"/>
      <c r="C632" s="8"/>
      <c r="D632" s="8"/>
      <c r="E632" s="8"/>
      <c r="F632" s="8"/>
      <c r="G632" s="8"/>
      <c r="H632" s="675"/>
      <c r="I632" s="675"/>
      <c r="J632" s="675"/>
      <c r="K632" s="675"/>
      <c r="L632" s="675"/>
      <c r="M632" s="675"/>
      <c r="N632" s="675"/>
      <c r="O632" s="675"/>
      <c r="P632" s="675"/>
      <c r="Q632" s="675"/>
      <c r="R632" s="675"/>
      <c r="S632" s="675"/>
      <c r="T632" s="675"/>
      <c r="U632" s="8"/>
      <c r="V632" s="8"/>
      <c r="W632" s="8"/>
      <c r="X632" s="8"/>
      <c r="Y632" s="8"/>
      <c r="Z632" s="8"/>
      <c r="AA632" s="8"/>
      <c r="AB632" s="8"/>
      <c r="AC632" s="8"/>
    </row>
    <row r="633" ht="12.75" customHeight="1" spans="1:29" x14ac:dyDescent="0.25">
      <c r="A633" s="8"/>
      <c r="B633" s="8"/>
      <c r="C633" s="8"/>
      <c r="D633" s="8"/>
      <c r="E633" s="8"/>
      <c r="F633" s="8"/>
      <c r="G633" s="8"/>
      <c r="H633" s="675"/>
      <c r="I633" s="675"/>
      <c r="J633" s="675"/>
      <c r="K633" s="675"/>
      <c r="L633" s="675"/>
      <c r="M633" s="675"/>
      <c r="N633" s="675"/>
      <c r="O633" s="675"/>
      <c r="P633" s="675"/>
      <c r="Q633" s="675"/>
      <c r="R633" s="675"/>
      <c r="S633" s="675"/>
      <c r="T633" s="675"/>
      <c r="U633" s="8"/>
      <c r="V633" s="8"/>
      <c r="W633" s="8"/>
      <c r="X633" s="8"/>
      <c r="Y633" s="8"/>
      <c r="Z633" s="8"/>
      <c r="AA633" s="8"/>
      <c r="AB633" s="8"/>
      <c r="AC633" s="8"/>
    </row>
    <row r="634" ht="12.75" customHeight="1" spans="1:29" x14ac:dyDescent="0.25">
      <c r="A634" s="8"/>
      <c r="B634" s="8"/>
      <c r="C634" s="8"/>
      <c r="D634" s="8"/>
      <c r="E634" s="8"/>
      <c r="F634" s="8"/>
      <c r="G634" s="8"/>
      <c r="H634" s="675"/>
      <c r="I634" s="675"/>
      <c r="J634" s="675"/>
      <c r="K634" s="675"/>
      <c r="L634" s="675"/>
      <c r="M634" s="675"/>
      <c r="N634" s="675"/>
      <c r="O634" s="675"/>
      <c r="P634" s="675"/>
      <c r="Q634" s="675"/>
      <c r="R634" s="675"/>
      <c r="S634" s="675"/>
      <c r="T634" s="675"/>
      <c r="U634" s="8"/>
      <c r="V634" s="8"/>
      <c r="W634" s="8"/>
      <c r="X634" s="8"/>
      <c r="Y634" s="8"/>
      <c r="Z634" s="8"/>
      <c r="AA634" s="8"/>
      <c r="AB634" s="8"/>
      <c r="AC634" s="8"/>
    </row>
    <row r="635" ht="12.75" customHeight="1" spans="1:29" x14ac:dyDescent="0.25">
      <c r="A635" s="8"/>
      <c r="B635" s="8"/>
      <c r="C635" s="8"/>
      <c r="D635" s="8"/>
      <c r="E635" s="8"/>
      <c r="F635" s="8"/>
      <c r="G635" s="8"/>
      <c r="H635" s="675"/>
      <c r="I635" s="675"/>
      <c r="J635" s="675"/>
      <c r="K635" s="675"/>
      <c r="L635" s="675"/>
      <c r="M635" s="675"/>
      <c r="N635" s="675"/>
      <c r="O635" s="675"/>
      <c r="P635" s="675"/>
      <c r="Q635" s="675"/>
      <c r="R635" s="675"/>
      <c r="S635" s="675"/>
      <c r="T635" s="675"/>
      <c r="U635" s="8"/>
      <c r="V635" s="8"/>
      <c r="W635" s="8"/>
      <c r="X635" s="8"/>
      <c r="Y635" s="8"/>
      <c r="Z635" s="8"/>
      <c r="AA635" s="8"/>
      <c r="AB635" s="8"/>
      <c r="AC635" s="8"/>
    </row>
    <row r="636" ht="12.75" customHeight="1" spans="1:29" x14ac:dyDescent="0.25">
      <c r="A636" s="8"/>
      <c r="B636" s="8"/>
      <c r="C636" s="8"/>
      <c r="D636" s="8"/>
      <c r="E636" s="8"/>
      <c r="F636" s="8"/>
      <c r="G636" s="8"/>
      <c r="H636" s="675"/>
      <c r="I636" s="675"/>
      <c r="J636" s="675"/>
      <c r="K636" s="675"/>
      <c r="L636" s="675"/>
      <c r="M636" s="675"/>
      <c r="N636" s="675"/>
      <c r="O636" s="675"/>
      <c r="P636" s="675"/>
      <c r="Q636" s="675"/>
      <c r="R636" s="675"/>
      <c r="S636" s="675"/>
      <c r="T636" s="675"/>
      <c r="U636" s="8"/>
      <c r="V636" s="8"/>
      <c r="W636" s="8"/>
      <c r="X636" s="8"/>
      <c r="Y636" s="8"/>
      <c r="Z636" s="8"/>
      <c r="AA636" s="8"/>
      <c r="AB636" s="8"/>
      <c r="AC636" s="8"/>
    </row>
    <row r="637" ht="12.75" customHeight="1" spans="1:29" x14ac:dyDescent="0.25">
      <c r="A637" s="8"/>
      <c r="B637" s="8"/>
      <c r="C637" s="8"/>
      <c r="D637" s="8"/>
      <c r="E637" s="8"/>
      <c r="F637" s="8"/>
      <c r="G637" s="8"/>
      <c r="H637" s="675"/>
      <c r="I637" s="675"/>
      <c r="J637" s="675"/>
      <c r="K637" s="675"/>
      <c r="L637" s="675"/>
      <c r="M637" s="675"/>
      <c r="N637" s="675"/>
      <c r="O637" s="675"/>
      <c r="P637" s="675"/>
      <c r="Q637" s="675"/>
      <c r="R637" s="675"/>
      <c r="S637" s="675"/>
      <c r="T637" s="675"/>
      <c r="U637" s="8"/>
      <c r="V637" s="8"/>
      <c r="W637" s="8"/>
      <c r="X637" s="8"/>
      <c r="Y637" s="8"/>
      <c r="Z637" s="8"/>
      <c r="AA637" s="8"/>
      <c r="AB637" s="8"/>
      <c r="AC637" s="8"/>
    </row>
    <row r="638" ht="12.75" customHeight="1" spans="1:29" x14ac:dyDescent="0.25">
      <c r="A638" s="8"/>
      <c r="B638" s="8"/>
      <c r="C638" s="8"/>
      <c r="D638" s="8"/>
      <c r="E638" s="8"/>
      <c r="F638" s="8"/>
      <c r="G638" s="8"/>
      <c r="H638" s="675"/>
      <c r="I638" s="675"/>
      <c r="J638" s="675"/>
      <c r="K638" s="675"/>
      <c r="L638" s="675"/>
      <c r="M638" s="675"/>
      <c r="N638" s="675"/>
      <c r="O638" s="675"/>
      <c r="P638" s="675"/>
      <c r="Q638" s="675"/>
      <c r="R638" s="675"/>
      <c r="S638" s="675"/>
      <c r="T638" s="675"/>
      <c r="U638" s="8"/>
      <c r="V638" s="8"/>
      <c r="W638" s="8"/>
      <c r="X638" s="8"/>
      <c r="Y638" s="8"/>
      <c r="Z638" s="8"/>
      <c r="AA638" s="8"/>
      <c r="AB638" s="8"/>
      <c r="AC638" s="8"/>
    </row>
    <row r="639" ht="12.75" customHeight="1" spans="1:29" x14ac:dyDescent="0.25">
      <c r="A639" s="8"/>
      <c r="B639" s="8"/>
      <c r="C639" s="8"/>
      <c r="D639" s="8"/>
      <c r="E639" s="8"/>
      <c r="F639" s="8"/>
      <c r="G639" s="8"/>
      <c r="H639" s="675"/>
      <c r="I639" s="675"/>
      <c r="J639" s="675"/>
      <c r="K639" s="675"/>
      <c r="L639" s="675"/>
      <c r="M639" s="675"/>
      <c r="N639" s="675"/>
      <c r="O639" s="675"/>
      <c r="P639" s="675"/>
      <c r="Q639" s="675"/>
      <c r="R639" s="675"/>
      <c r="S639" s="675"/>
      <c r="T639" s="675"/>
      <c r="U639" s="8"/>
      <c r="V639" s="8"/>
      <c r="W639" s="8"/>
      <c r="X639" s="8"/>
      <c r="Y639" s="8"/>
      <c r="Z639" s="8"/>
      <c r="AA639" s="8"/>
      <c r="AB639" s="8"/>
      <c r="AC639" s="8"/>
    </row>
    <row r="640" ht="12.75" customHeight="1" spans="1:29" x14ac:dyDescent="0.25">
      <c r="A640" s="8"/>
      <c r="B640" s="8"/>
      <c r="C640" s="8"/>
      <c r="D640" s="8"/>
      <c r="E640" s="8"/>
      <c r="F640" s="8"/>
      <c r="G640" s="8"/>
      <c r="H640" s="675"/>
      <c r="I640" s="675"/>
      <c r="J640" s="675"/>
      <c r="K640" s="675"/>
      <c r="L640" s="675"/>
      <c r="M640" s="675"/>
      <c r="N640" s="675"/>
      <c r="O640" s="675"/>
      <c r="P640" s="675"/>
      <c r="Q640" s="675"/>
      <c r="R640" s="675"/>
      <c r="S640" s="675"/>
      <c r="T640" s="675"/>
      <c r="U640" s="8"/>
      <c r="V640" s="8"/>
      <c r="W640" s="8"/>
      <c r="X640" s="8"/>
      <c r="Y640" s="8"/>
      <c r="Z640" s="8"/>
      <c r="AA640" s="8"/>
      <c r="AB640" s="8"/>
      <c r="AC640" s="8"/>
    </row>
    <row r="641" ht="12.75" customHeight="1" spans="1:29" x14ac:dyDescent="0.25">
      <c r="A641" s="8"/>
      <c r="B641" s="8"/>
      <c r="C641" s="8"/>
      <c r="D641" s="8"/>
      <c r="E641" s="8"/>
      <c r="F641" s="8"/>
      <c r="G641" s="8"/>
      <c r="H641" s="675"/>
      <c r="I641" s="675"/>
      <c r="J641" s="675"/>
      <c r="K641" s="675"/>
      <c r="L641" s="675"/>
      <c r="M641" s="675"/>
      <c r="N641" s="675"/>
      <c r="O641" s="675"/>
      <c r="P641" s="675"/>
      <c r="Q641" s="675"/>
      <c r="R641" s="675"/>
      <c r="S641" s="675"/>
      <c r="T641" s="675"/>
      <c r="U641" s="8"/>
      <c r="V641" s="8"/>
      <c r="W641" s="8"/>
      <c r="X641" s="8"/>
      <c r="Y641" s="8"/>
      <c r="Z641" s="8"/>
      <c r="AA641" s="8"/>
      <c r="AB641" s="8"/>
      <c r="AC641" s="8"/>
    </row>
    <row r="642" ht="12.75" customHeight="1" spans="1:29" x14ac:dyDescent="0.25">
      <c r="A642" s="8"/>
      <c r="B642" s="8"/>
      <c r="C642" s="8"/>
      <c r="D642" s="8"/>
      <c r="E642" s="8"/>
      <c r="F642" s="8"/>
      <c r="G642" s="8"/>
      <c r="H642" s="675"/>
      <c r="I642" s="675"/>
      <c r="J642" s="675"/>
      <c r="K642" s="675"/>
      <c r="L642" s="675"/>
      <c r="M642" s="675"/>
      <c r="N642" s="675"/>
      <c r="O642" s="675"/>
      <c r="P642" s="675"/>
      <c r="Q642" s="675"/>
      <c r="R642" s="675"/>
      <c r="S642" s="675"/>
      <c r="T642" s="675"/>
      <c r="U642" s="8"/>
      <c r="V642" s="8"/>
      <c r="W642" s="8"/>
      <c r="X642" s="8"/>
      <c r="Y642" s="8"/>
      <c r="Z642" s="8"/>
      <c r="AA642" s="8"/>
      <c r="AB642" s="8"/>
      <c r="AC642" s="8"/>
    </row>
    <row r="643" ht="12.75" customHeight="1" spans="1:29" x14ac:dyDescent="0.25">
      <c r="A643" s="8"/>
      <c r="B643" s="8"/>
      <c r="C643" s="8"/>
      <c r="D643" s="8"/>
      <c r="E643" s="8"/>
      <c r="F643" s="8"/>
      <c r="G643" s="8"/>
      <c r="H643" s="675"/>
      <c r="I643" s="675"/>
      <c r="J643" s="675"/>
      <c r="K643" s="675"/>
      <c r="L643" s="675"/>
      <c r="M643" s="675"/>
      <c r="N643" s="675"/>
      <c r="O643" s="675"/>
      <c r="P643" s="675"/>
      <c r="Q643" s="675"/>
      <c r="R643" s="675"/>
      <c r="S643" s="675"/>
      <c r="T643" s="675"/>
      <c r="U643" s="8"/>
      <c r="V643" s="8"/>
      <c r="W643" s="8"/>
      <c r="X643" s="8"/>
      <c r="Y643" s="8"/>
      <c r="Z643" s="8"/>
      <c r="AA643" s="8"/>
      <c r="AB643" s="8"/>
      <c r="AC643" s="8"/>
    </row>
    <row r="644" ht="12.75" customHeight="1" spans="1:29" x14ac:dyDescent="0.25">
      <c r="A644" s="8"/>
      <c r="B644" s="8"/>
      <c r="C644" s="8"/>
      <c r="D644" s="8"/>
      <c r="E644" s="8"/>
      <c r="F644" s="8"/>
      <c r="G644" s="8"/>
      <c r="H644" s="675"/>
      <c r="I644" s="675"/>
      <c r="J644" s="675"/>
      <c r="K644" s="675"/>
      <c r="L644" s="675"/>
      <c r="M644" s="675"/>
      <c r="N644" s="675"/>
      <c r="O644" s="675"/>
      <c r="P644" s="675"/>
      <c r="Q644" s="675"/>
      <c r="R644" s="675"/>
      <c r="S644" s="675"/>
      <c r="T644" s="675"/>
      <c r="U644" s="8"/>
      <c r="V644" s="8"/>
      <c r="W644" s="8"/>
      <c r="X644" s="8"/>
      <c r="Y644" s="8"/>
      <c r="Z644" s="8"/>
      <c r="AA644" s="8"/>
      <c r="AB644" s="8"/>
      <c r="AC644" s="8"/>
    </row>
    <row r="645" ht="12.75" customHeight="1" spans="1:29" x14ac:dyDescent="0.25">
      <c r="A645" s="8"/>
      <c r="B645" s="8"/>
      <c r="C645" s="8"/>
      <c r="D645" s="8"/>
      <c r="E645" s="8"/>
      <c r="F645" s="8"/>
      <c r="G645" s="8"/>
      <c r="H645" s="675"/>
      <c r="I645" s="675"/>
      <c r="J645" s="675"/>
      <c r="K645" s="675"/>
      <c r="L645" s="675"/>
      <c r="M645" s="675"/>
      <c r="N645" s="675"/>
      <c r="O645" s="675"/>
      <c r="P645" s="675"/>
      <c r="Q645" s="675"/>
      <c r="R645" s="675"/>
      <c r="S645" s="675"/>
      <c r="T645" s="675"/>
      <c r="U645" s="8"/>
      <c r="V645" s="8"/>
      <c r="W645" s="8"/>
      <c r="X645" s="8"/>
      <c r="Y645" s="8"/>
      <c r="Z645" s="8"/>
      <c r="AA645" s="8"/>
      <c r="AB645" s="8"/>
      <c r="AC645" s="8"/>
    </row>
    <row r="646" ht="12.75" customHeight="1" spans="1:29" x14ac:dyDescent="0.25">
      <c r="A646" s="8"/>
      <c r="B646" s="8"/>
      <c r="C646" s="8"/>
      <c r="D646" s="8"/>
      <c r="E646" s="8"/>
      <c r="F646" s="8"/>
      <c r="G646" s="8"/>
      <c r="H646" s="675"/>
      <c r="I646" s="675"/>
      <c r="J646" s="675"/>
      <c r="K646" s="675"/>
      <c r="L646" s="675"/>
      <c r="M646" s="675"/>
      <c r="N646" s="675"/>
      <c r="O646" s="675"/>
      <c r="P646" s="675"/>
      <c r="Q646" s="675"/>
      <c r="R646" s="675"/>
      <c r="S646" s="675"/>
      <c r="T646" s="675"/>
      <c r="U646" s="8"/>
      <c r="V646" s="8"/>
      <c r="W646" s="8"/>
      <c r="X646" s="8"/>
      <c r="Y646" s="8"/>
      <c r="Z646" s="8"/>
      <c r="AA646" s="8"/>
      <c r="AB646" s="8"/>
      <c r="AC646" s="8"/>
    </row>
    <row r="647" ht="12.75" customHeight="1" spans="1:29" x14ac:dyDescent="0.25">
      <c r="A647" s="8"/>
      <c r="B647" s="8"/>
      <c r="C647" s="8"/>
      <c r="D647" s="8"/>
      <c r="E647" s="8"/>
      <c r="F647" s="8"/>
      <c r="G647" s="8"/>
      <c r="H647" s="675"/>
      <c r="I647" s="675"/>
      <c r="J647" s="675"/>
      <c r="K647" s="675"/>
      <c r="L647" s="675"/>
      <c r="M647" s="675"/>
      <c r="N647" s="675"/>
      <c r="O647" s="675"/>
      <c r="P647" s="675"/>
      <c r="Q647" s="675"/>
      <c r="R647" s="675"/>
      <c r="S647" s="675"/>
      <c r="T647" s="675"/>
      <c r="U647" s="8"/>
      <c r="V647" s="8"/>
      <c r="W647" s="8"/>
      <c r="X647" s="8"/>
      <c r="Y647" s="8"/>
      <c r="Z647" s="8"/>
      <c r="AA647" s="8"/>
      <c r="AB647" s="8"/>
      <c r="AC647" s="8"/>
    </row>
    <row r="648" ht="12.75" customHeight="1" spans="1:29" x14ac:dyDescent="0.25">
      <c r="A648" s="8"/>
      <c r="B648" s="8"/>
      <c r="C648" s="8"/>
      <c r="D648" s="8"/>
      <c r="E648" s="8"/>
      <c r="F648" s="8"/>
      <c r="G648" s="8"/>
      <c r="H648" s="675"/>
      <c r="I648" s="675"/>
      <c r="J648" s="675"/>
      <c r="K648" s="675"/>
      <c r="L648" s="675"/>
      <c r="M648" s="675"/>
      <c r="N648" s="675"/>
      <c r="O648" s="675"/>
      <c r="P648" s="675"/>
      <c r="Q648" s="675"/>
      <c r="R648" s="675"/>
      <c r="S648" s="675"/>
      <c r="T648" s="675"/>
      <c r="U648" s="8"/>
      <c r="V648" s="8"/>
      <c r="W648" s="8"/>
      <c r="X648" s="8"/>
      <c r="Y648" s="8"/>
      <c r="Z648" s="8"/>
      <c r="AA648" s="8"/>
      <c r="AB648" s="8"/>
      <c r="AC648" s="8"/>
    </row>
    <row r="649" ht="12.75" customHeight="1" spans="1:29" x14ac:dyDescent="0.25">
      <c r="A649" s="8"/>
      <c r="B649" s="8"/>
      <c r="C649" s="8"/>
      <c r="D649" s="8"/>
      <c r="E649" s="8"/>
      <c r="F649" s="8"/>
      <c r="G649" s="8"/>
      <c r="H649" s="675"/>
      <c r="I649" s="675"/>
      <c r="J649" s="675"/>
      <c r="K649" s="675"/>
      <c r="L649" s="675"/>
      <c r="M649" s="675"/>
      <c r="N649" s="675"/>
      <c r="O649" s="675"/>
      <c r="P649" s="675"/>
      <c r="Q649" s="675"/>
      <c r="R649" s="675"/>
      <c r="S649" s="675"/>
      <c r="T649" s="675"/>
      <c r="U649" s="8"/>
      <c r="V649" s="8"/>
      <c r="W649" s="8"/>
      <c r="X649" s="8"/>
      <c r="Y649" s="8"/>
      <c r="Z649" s="8"/>
      <c r="AA649" s="8"/>
      <c r="AB649" s="8"/>
      <c r="AC649" s="8"/>
    </row>
    <row r="650" ht="12.75" customHeight="1" spans="1:29" x14ac:dyDescent="0.25">
      <c r="A650" s="8"/>
      <c r="B650" s="8"/>
      <c r="C650" s="8"/>
      <c r="D650" s="8"/>
      <c r="E650" s="8"/>
      <c r="F650" s="8"/>
      <c r="G650" s="8"/>
      <c r="H650" s="675"/>
      <c r="I650" s="675"/>
      <c r="J650" s="675"/>
      <c r="K650" s="675"/>
      <c r="L650" s="675"/>
      <c r="M650" s="675"/>
      <c r="N650" s="675"/>
      <c r="O650" s="675"/>
      <c r="P650" s="675"/>
      <c r="Q650" s="675"/>
      <c r="R650" s="675"/>
      <c r="S650" s="675"/>
      <c r="T650" s="675"/>
      <c r="U650" s="8"/>
      <c r="V650" s="8"/>
      <c r="W650" s="8"/>
      <c r="X650" s="8"/>
      <c r="Y650" s="8"/>
      <c r="Z650" s="8"/>
      <c r="AA650" s="8"/>
      <c r="AB650" s="8"/>
      <c r="AC650" s="8"/>
    </row>
    <row r="651" ht="12.75" customHeight="1" spans="1:29" x14ac:dyDescent="0.25">
      <c r="A651" s="8"/>
      <c r="B651" s="8"/>
      <c r="C651" s="8"/>
      <c r="D651" s="8"/>
      <c r="E651" s="8"/>
      <c r="F651" s="8"/>
      <c r="G651" s="8"/>
      <c r="H651" s="675"/>
      <c r="I651" s="675"/>
      <c r="J651" s="675"/>
      <c r="K651" s="675"/>
      <c r="L651" s="675"/>
      <c r="M651" s="675"/>
      <c r="N651" s="675"/>
      <c r="O651" s="675"/>
      <c r="P651" s="675"/>
      <c r="Q651" s="675"/>
      <c r="R651" s="675"/>
      <c r="S651" s="675"/>
      <c r="T651" s="675"/>
      <c r="U651" s="8"/>
      <c r="V651" s="8"/>
      <c r="W651" s="8"/>
      <c r="X651" s="8"/>
      <c r="Y651" s="8"/>
      <c r="Z651" s="8"/>
      <c r="AA651" s="8"/>
      <c r="AB651" s="8"/>
      <c r="AC651" s="8"/>
    </row>
    <row r="652" ht="12.75" customHeight="1" spans="1:29" x14ac:dyDescent="0.25">
      <c r="A652" s="8"/>
      <c r="B652" s="8"/>
      <c r="C652" s="8"/>
      <c r="D652" s="8"/>
      <c r="E652" s="8"/>
      <c r="F652" s="8"/>
      <c r="G652" s="8"/>
      <c r="H652" s="675"/>
      <c r="I652" s="675"/>
      <c r="J652" s="675"/>
      <c r="K652" s="675"/>
      <c r="L652" s="675"/>
      <c r="M652" s="675"/>
      <c r="N652" s="675"/>
      <c r="O652" s="675"/>
      <c r="P652" s="675"/>
      <c r="Q652" s="675"/>
      <c r="R652" s="675"/>
      <c r="S652" s="675"/>
      <c r="T652" s="675"/>
      <c r="U652" s="8"/>
      <c r="V652" s="8"/>
      <c r="W652" s="8"/>
      <c r="X652" s="8"/>
      <c r="Y652" s="8"/>
      <c r="Z652" s="8"/>
      <c r="AA652" s="8"/>
      <c r="AB652" s="8"/>
      <c r="AC652" s="8"/>
    </row>
    <row r="653" ht="12.75" customHeight="1" spans="1:29" x14ac:dyDescent="0.25">
      <c r="A653" s="8"/>
      <c r="B653" s="8"/>
      <c r="C653" s="8"/>
      <c r="D653" s="8"/>
      <c r="E653" s="8"/>
      <c r="F653" s="8"/>
      <c r="G653" s="8"/>
      <c r="H653" s="675"/>
      <c r="I653" s="675"/>
      <c r="J653" s="675"/>
      <c r="K653" s="675"/>
      <c r="L653" s="675"/>
      <c r="M653" s="675"/>
      <c r="N653" s="675"/>
      <c r="O653" s="675"/>
      <c r="P653" s="675"/>
      <c r="Q653" s="675"/>
      <c r="R653" s="675"/>
      <c r="S653" s="675"/>
      <c r="T653" s="675"/>
      <c r="U653" s="8"/>
      <c r="V653" s="8"/>
      <c r="W653" s="8"/>
      <c r="X653" s="8"/>
      <c r="Y653" s="8"/>
      <c r="Z653" s="8"/>
      <c r="AA653" s="8"/>
      <c r="AB653" s="8"/>
      <c r="AC653" s="8"/>
    </row>
    <row r="654" ht="12.75" customHeight="1" spans="1:29" x14ac:dyDescent="0.25">
      <c r="A654" s="8"/>
      <c r="B654" s="8"/>
      <c r="C654" s="8"/>
      <c r="D654" s="8"/>
      <c r="E654" s="8"/>
      <c r="F654" s="8"/>
      <c r="G654" s="8"/>
      <c r="H654" s="675"/>
      <c r="I654" s="675"/>
      <c r="J654" s="675"/>
      <c r="K654" s="675"/>
      <c r="L654" s="675"/>
      <c r="M654" s="675"/>
      <c r="N654" s="675"/>
      <c r="O654" s="675"/>
      <c r="P654" s="675"/>
      <c r="Q654" s="675"/>
      <c r="R654" s="675"/>
      <c r="S654" s="675"/>
      <c r="T654" s="675"/>
      <c r="U654" s="8"/>
      <c r="V654" s="8"/>
      <c r="W654" s="8"/>
      <c r="X654" s="8"/>
      <c r="Y654" s="8"/>
      <c r="Z654" s="8"/>
      <c r="AA654" s="8"/>
      <c r="AB654" s="8"/>
      <c r="AC654" s="8"/>
    </row>
    <row r="655" ht="12.75" customHeight="1" spans="1:29" x14ac:dyDescent="0.25">
      <c r="A655" s="8"/>
      <c r="B655" s="8"/>
      <c r="C655" s="8"/>
      <c r="D655" s="8"/>
      <c r="E655" s="8"/>
      <c r="F655" s="8"/>
      <c r="G655" s="8"/>
      <c r="H655" s="675"/>
      <c r="I655" s="675"/>
      <c r="J655" s="675"/>
      <c r="K655" s="675"/>
      <c r="L655" s="675"/>
      <c r="M655" s="675"/>
      <c r="N655" s="675"/>
      <c r="O655" s="675"/>
      <c r="P655" s="675"/>
      <c r="Q655" s="675"/>
      <c r="R655" s="675"/>
      <c r="S655" s="675"/>
      <c r="T655" s="675"/>
      <c r="U655" s="8"/>
      <c r="V655" s="8"/>
      <c r="W655" s="8"/>
      <c r="X655" s="8"/>
      <c r="Y655" s="8"/>
      <c r="Z655" s="8"/>
      <c r="AA655" s="8"/>
      <c r="AB655" s="8"/>
      <c r="AC655" s="8"/>
    </row>
    <row r="656" ht="12.75" customHeight="1" spans="1:29" x14ac:dyDescent="0.25">
      <c r="A656" s="8"/>
      <c r="B656" s="8"/>
      <c r="C656" s="8"/>
      <c r="D656" s="8"/>
      <c r="E656" s="8"/>
      <c r="F656" s="8"/>
      <c r="G656" s="8"/>
      <c r="H656" s="675"/>
      <c r="I656" s="675"/>
      <c r="J656" s="675"/>
      <c r="K656" s="675"/>
      <c r="L656" s="675"/>
      <c r="M656" s="675"/>
      <c r="N656" s="675"/>
      <c r="O656" s="675"/>
      <c r="P656" s="675"/>
      <c r="Q656" s="675"/>
      <c r="R656" s="675"/>
      <c r="S656" s="675"/>
      <c r="T656" s="675"/>
      <c r="U656" s="8"/>
      <c r="V656" s="8"/>
      <c r="W656" s="8"/>
      <c r="X656" s="8"/>
      <c r="Y656" s="8"/>
      <c r="Z656" s="8"/>
      <c r="AA656" s="8"/>
      <c r="AB656" s="8"/>
      <c r="AC656" s="8"/>
    </row>
    <row r="657" ht="12.75" customHeight="1" spans="1:29" x14ac:dyDescent="0.25">
      <c r="A657" s="8"/>
      <c r="B657" s="8"/>
      <c r="C657" s="8"/>
      <c r="D657" s="8"/>
      <c r="E657" s="8"/>
      <c r="F657" s="8"/>
      <c r="G657" s="8"/>
      <c r="H657" s="675"/>
      <c r="I657" s="675"/>
      <c r="J657" s="675"/>
      <c r="K657" s="675"/>
      <c r="L657" s="675"/>
      <c r="M657" s="675"/>
      <c r="N657" s="675"/>
      <c r="O657" s="675"/>
      <c r="P657" s="675"/>
      <c r="Q657" s="675"/>
      <c r="R657" s="675"/>
      <c r="S657" s="675"/>
      <c r="T657" s="675"/>
      <c r="U657" s="8"/>
      <c r="V657" s="8"/>
      <c r="W657" s="8"/>
      <c r="X657" s="8"/>
      <c r="Y657" s="8"/>
      <c r="Z657" s="8"/>
      <c r="AA657" s="8"/>
      <c r="AB657" s="8"/>
      <c r="AC657" s="8"/>
    </row>
    <row r="658" ht="12.75" customHeight="1" spans="1:29" x14ac:dyDescent="0.25">
      <c r="A658" s="8"/>
      <c r="B658" s="8"/>
      <c r="C658" s="8"/>
      <c r="D658" s="8"/>
      <c r="E658" s="8"/>
      <c r="F658" s="8"/>
      <c r="G658" s="8"/>
      <c r="H658" s="675"/>
      <c r="I658" s="675"/>
      <c r="J658" s="675"/>
      <c r="K658" s="675"/>
      <c r="L658" s="675"/>
      <c r="M658" s="675"/>
      <c r="N658" s="675"/>
      <c r="O658" s="675"/>
      <c r="P658" s="675"/>
      <c r="Q658" s="675"/>
      <c r="R658" s="675"/>
      <c r="S658" s="675"/>
      <c r="T658" s="675"/>
      <c r="U658" s="8"/>
      <c r="V658" s="8"/>
      <c r="W658" s="8"/>
      <c r="X658" s="8"/>
      <c r="Y658" s="8"/>
      <c r="Z658" s="8"/>
      <c r="AA658" s="8"/>
      <c r="AB658" s="8"/>
      <c r="AC658" s="8"/>
    </row>
    <row r="659" ht="12.75" customHeight="1" spans="1:29" x14ac:dyDescent="0.25">
      <c r="A659" s="8"/>
      <c r="B659" s="8"/>
      <c r="C659" s="8"/>
      <c r="D659" s="8"/>
      <c r="E659" s="8"/>
      <c r="F659" s="8"/>
      <c r="G659" s="8"/>
      <c r="H659" s="675"/>
      <c r="I659" s="675"/>
      <c r="J659" s="675"/>
      <c r="K659" s="675"/>
      <c r="L659" s="675"/>
      <c r="M659" s="675"/>
      <c r="N659" s="675"/>
      <c r="O659" s="675"/>
      <c r="P659" s="675"/>
      <c r="Q659" s="675"/>
      <c r="R659" s="675"/>
      <c r="S659" s="675"/>
      <c r="T659" s="675"/>
      <c r="U659" s="8"/>
      <c r="V659" s="8"/>
      <c r="W659" s="8"/>
      <c r="X659" s="8"/>
      <c r="Y659" s="8"/>
      <c r="Z659" s="8"/>
      <c r="AA659" s="8"/>
      <c r="AB659" s="8"/>
      <c r="AC659" s="8"/>
    </row>
    <row r="660" ht="12.75" customHeight="1" spans="1:29" x14ac:dyDescent="0.25">
      <c r="A660" s="8"/>
      <c r="B660" s="8"/>
      <c r="C660" s="8"/>
      <c r="D660" s="8"/>
      <c r="E660" s="8"/>
      <c r="F660" s="8"/>
      <c r="G660" s="8"/>
      <c r="H660" s="675"/>
      <c r="I660" s="675"/>
      <c r="J660" s="675"/>
      <c r="K660" s="675"/>
      <c r="L660" s="675"/>
      <c r="M660" s="675"/>
      <c r="N660" s="675"/>
      <c r="O660" s="675"/>
      <c r="P660" s="675"/>
      <c r="Q660" s="675"/>
      <c r="R660" s="675"/>
      <c r="S660" s="675"/>
      <c r="T660" s="675"/>
      <c r="U660" s="8"/>
      <c r="V660" s="8"/>
      <c r="W660" s="8"/>
      <c r="X660" s="8"/>
      <c r="Y660" s="8"/>
      <c r="Z660" s="8"/>
      <c r="AA660" s="8"/>
      <c r="AB660" s="8"/>
      <c r="AC660" s="8"/>
    </row>
    <row r="661" ht="12.75" customHeight="1" spans="1:29" x14ac:dyDescent="0.25">
      <c r="A661" s="8"/>
      <c r="B661" s="8"/>
      <c r="C661" s="8"/>
      <c r="D661" s="8"/>
      <c r="E661" s="8"/>
      <c r="F661" s="8"/>
      <c r="G661" s="8"/>
      <c r="H661" s="675"/>
      <c r="I661" s="675"/>
      <c r="J661" s="675"/>
      <c r="K661" s="675"/>
      <c r="L661" s="675"/>
      <c r="M661" s="675"/>
      <c r="N661" s="675"/>
      <c r="O661" s="675"/>
      <c r="P661" s="675"/>
      <c r="Q661" s="675"/>
      <c r="R661" s="675"/>
      <c r="S661" s="675"/>
      <c r="T661" s="675"/>
      <c r="U661" s="8"/>
      <c r="V661" s="8"/>
      <c r="W661" s="8"/>
      <c r="X661" s="8"/>
      <c r="Y661" s="8"/>
      <c r="Z661" s="8"/>
      <c r="AA661" s="8"/>
      <c r="AB661" s="8"/>
      <c r="AC661" s="8"/>
    </row>
    <row r="662" ht="12.75" customHeight="1" spans="1:29" x14ac:dyDescent="0.25">
      <c r="A662" s="8"/>
      <c r="B662" s="8"/>
      <c r="C662" s="8"/>
      <c r="D662" s="8"/>
      <c r="E662" s="8"/>
      <c r="F662" s="8"/>
      <c r="G662" s="8"/>
      <c r="H662" s="675"/>
      <c r="I662" s="675"/>
      <c r="J662" s="675"/>
      <c r="K662" s="675"/>
      <c r="L662" s="675"/>
      <c r="M662" s="675"/>
      <c r="N662" s="675"/>
      <c r="O662" s="675"/>
      <c r="P662" s="675"/>
      <c r="Q662" s="675"/>
      <c r="R662" s="675"/>
      <c r="S662" s="675"/>
      <c r="T662" s="675"/>
      <c r="U662" s="8"/>
      <c r="V662" s="8"/>
      <c r="W662" s="8"/>
      <c r="X662" s="8"/>
      <c r="Y662" s="8"/>
      <c r="Z662" s="8"/>
      <c r="AA662" s="8"/>
      <c r="AB662" s="8"/>
      <c r="AC662" s="8"/>
    </row>
    <row r="663" ht="12.75" customHeight="1" spans="1:29" x14ac:dyDescent="0.25">
      <c r="A663" s="8"/>
      <c r="B663" s="8"/>
      <c r="C663" s="8"/>
      <c r="D663" s="8"/>
      <c r="E663" s="8"/>
      <c r="F663" s="8"/>
      <c r="G663" s="8"/>
      <c r="H663" s="675"/>
      <c r="I663" s="675"/>
      <c r="J663" s="675"/>
      <c r="K663" s="675"/>
      <c r="L663" s="675"/>
      <c r="M663" s="675"/>
      <c r="N663" s="675"/>
      <c r="O663" s="675"/>
      <c r="P663" s="675"/>
      <c r="Q663" s="675"/>
      <c r="R663" s="675"/>
      <c r="S663" s="675"/>
      <c r="T663" s="675"/>
      <c r="U663" s="8"/>
      <c r="V663" s="8"/>
      <c r="W663" s="8"/>
      <c r="X663" s="8"/>
      <c r="Y663" s="8"/>
      <c r="Z663" s="8"/>
      <c r="AA663" s="8"/>
      <c r="AB663" s="8"/>
      <c r="AC663" s="8"/>
    </row>
    <row r="664" ht="12.75" customHeight="1" spans="1:29" x14ac:dyDescent="0.25">
      <c r="A664" s="8"/>
      <c r="B664" s="8"/>
      <c r="C664" s="8"/>
      <c r="D664" s="8"/>
      <c r="E664" s="8"/>
      <c r="F664" s="8"/>
      <c r="G664" s="8"/>
      <c r="H664" s="675"/>
      <c r="I664" s="675"/>
      <c r="J664" s="675"/>
      <c r="K664" s="675"/>
      <c r="L664" s="675"/>
      <c r="M664" s="675"/>
      <c r="N664" s="675"/>
      <c r="O664" s="675"/>
      <c r="P664" s="675"/>
      <c r="Q664" s="675"/>
      <c r="R664" s="675"/>
      <c r="S664" s="675"/>
      <c r="T664" s="675"/>
      <c r="U664" s="8"/>
      <c r="V664" s="8"/>
      <c r="W664" s="8"/>
      <c r="X664" s="8"/>
      <c r="Y664" s="8"/>
      <c r="Z664" s="8"/>
      <c r="AA664" s="8"/>
      <c r="AB664" s="8"/>
      <c r="AC664" s="8"/>
    </row>
    <row r="665" ht="12.75" customHeight="1" spans="1:29" x14ac:dyDescent="0.25">
      <c r="A665" s="8"/>
      <c r="B665" s="8"/>
      <c r="C665" s="8"/>
      <c r="D665" s="8"/>
      <c r="E665" s="8"/>
      <c r="F665" s="8"/>
      <c r="G665" s="8"/>
      <c r="H665" s="675"/>
      <c r="I665" s="675"/>
      <c r="J665" s="675"/>
      <c r="K665" s="675"/>
      <c r="L665" s="675"/>
      <c r="M665" s="675"/>
      <c r="N665" s="675"/>
      <c r="O665" s="675"/>
      <c r="P665" s="675"/>
      <c r="Q665" s="675"/>
      <c r="R665" s="675"/>
      <c r="S665" s="675"/>
      <c r="T665" s="675"/>
      <c r="U665" s="8"/>
      <c r="V665" s="8"/>
      <c r="W665" s="8"/>
      <c r="X665" s="8"/>
      <c r="Y665" s="8"/>
      <c r="Z665" s="8"/>
      <c r="AA665" s="8"/>
      <c r="AB665" s="8"/>
      <c r="AC665" s="8"/>
    </row>
    <row r="666" ht="12.75" customHeight="1" spans="1:29" x14ac:dyDescent="0.25">
      <c r="A666" s="8"/>
      <c r="B666" s="8"/>
      <c r="C666" s="8"/>
      <c r="D666" s="8"/>
      <c r="E666" s="8"/>
      <c r="F666" s="8"/>
      <c r="G666" s="8"/>
      <c r="H666" s="675"/>
      <c r="I666" s="675"/>
      <c r="J666" s="675"/>
      <c r="K666" s="675"/>
      <c r="L666" s="675"/>
      <c r="M666" s="675"/>
      <c r="N666" s="675"/>
      <c r="O666" s="675"/>
      <c r="P666" s="675"/>
      <c r="Q666" s="675"/>
      <c r="R666" s="675"/>
      <c r="S666" s="675"/>
      <c r="T666" s="675"/>
      <c r="U666" s="8"/>
      <c r="V666" s="8"/>
      <c r="W666" s="8"/>
      <c r="X666" s="8"/>
      <c r="Y666" s="8"/>
      <c r="Z666" s="8"/>
      <c r="AA666" s="8"/>
      <c r="AB666" s="8"/>
      <c r="AC666" s="8"/>
    </row>
    <row r="667" ht="12.75" customHeight="1" spans="1:29" x14ac:dyDescent="0.25">
      <c r="A667" s="8"/>
      <c r="B667" s="8"/>
      <c r="C667" s="8"/>
      <c r="D667" s="8"/>
      <c r="E667" s="8"/>
      <c r="F667" s="8"/>
      <c r="G667" s="8"/>
      <c r="H667" s="675"/>
      <c r="I667" s="675"/>
      <c r="J667" s="675"/>
      <c r="K667" s="675"/>
      <c r="L667" s="675"/>
      <c r="M667" s="675"/>
      <c r="N667" s="675"/>
      <c r="O667" s="675"/>
      <c r="P667" s="675"/>
      <c r="Q667" s="675"/>
      <c r="R667" s="675"/>
      <c r="S667" s="675"/>
      <c r="T667" s="675"/>
      <c r="U667" s="8"/>
      <c r="V667" s="8"/>
      <c r="W667" s="8"/>
      <c r="X667" s="8"/>
      <c r="Y667" s="8"/>
      <c r="Z667" s="8"/>
      <c r="AA667" s="8"/>
      <c r="AB667" s="8"/>
      <c r="AC667" s="8"/>
    </row>
    <row r="668" ht="12.75" customHeight="1" spans="1:29" x14ac:dyDescent="0.25">
      <c r="A668" s="8"/>
      <c r="B668" s="8"/>
      <c r="C668" s="8"/>
      <c r="D668" s="8"/>
      <c r="E668" s="8"/>
      <c r="F668" s="8"/>
      <c r="G668" s="8"/>
      <c r="H668" s="675"/>
      <c r="I668" s="675"/>
      <c r="J668" s="675"/>
      <c r="K668" s="675"/>
      <c r="L668" s="675"/>
      <c r="M668" s="675"/>
      <c r="N668" s="675"/>
      <c r="O668" s="675"/>
      <c r="P668" s="675"/>
      <c r="Q668" s="675"/>
      <c r="R668" s="675"/>
      <c r="S668" s="675"/>
      <c r="T668" s="675"/>
      <c r="U668" s="8"/>
      <c r="V668" s="8"/>
      <c r="W668" s="8"/>
      <c r="X668" s="8"/>
      <c r="Y668" s="8"/>
      <c r="Z668" s="8"/>
      <c r="AA668" s="8"/>
      <c r="AB668" s="8"/>
      <c r="AC668" s="8"/>
    </row>
    <row r="669" ht="12.75" customHeight="1" spans="1:29" x14ac:dyDescent="0.25">
      <c r="A669" s="8"/>
      <c r="B669" s="8"/>
      <c r="C669" s="8"/>
      <c r="D669" s="8"/>
      <c r="E669" s="8"/>
      <c r="F669" s="8"/>
      <c r="G669" s="8"/>
      <c r="H669" s="675"/>
      <c r="I669" s="675"/>
      <c r="J669" s="675"/>
      <c r="K669" s="675"/>
      <c r="L669" s="675"/>
      <c r="M669" s="675"/>
      <c r="N669" s="675"/>
      <c r="O669" s="675"/>
      <c r="P669" s="675"/>
      <c r="Q669" s="675"/>
      <c r="R669" s="675"/>
      <c r="S669" s="675"/>
      <c r="T669" s="675"/>
      <c r="U669" s="8"/>
      <c r="V669" s="8"/>
      <c r="W669" s="8"/>
      <c r="X669" s="8"/>
      <c r="Y669" s="8"/>
      <c r="Z669" s="8"/>
      <c r="AA669" s="8"/>
      <c r="AB669" s="8"/>
      <c r="AC669" s="8"/>
    </row>
    <row r="670" ht="12.75" customHeight="1" spans="1:29" x14ac:dyDescent="0.25">
      <c r="A670" s="8"/>
      <c r="B670" s="8"/>
      <c r="C670" s="8"/>
      <c r="D670" s="8"/>
      <c r="E670" s="8"/>
      <c r="F670" s="8"/>
      <c r="G670" s="8"/>
      <c r="H670" s="675"/>
      <c r="I670" s="675"/>
      <c r="J670" s="675"/>
      <c r="K670" s="675"/>
      <c r="L670" s="675"/>
      <c r="M670" s="675"/>
      <c r="N670" s="675"/>
      <c r="O670" s="675"/>
      <c r="P670" s="675"/>
      <c r="Q670" s="675"/>
      <c r="R670" s="675"/>
      <c r="S670" s="675"/>
      <c r="T670" s="675"/>
      <c r="U670" s="8"/>
      <c r="V670" s="8"/>
      <c r="W670" s="8"/>
      <c r="X670" s="8"/>
      <c r="Y670" s="8"/>
      <c r="Z670" s="8"/>
      <c r="AA670" s="8"/>
      <c r="AB670" s="8"/>
      <c r="AC670" s="8"/>
    </row>
    <row r="671" ht="12.75" customHeight="1" spans="1:29" x14ac:dyDescent="0.25">
      <c r="A671" s="8"/>
      <c r="B671" s="8"/>
      <c r="C671" s="8"/>
      <c r="D671" s="8"/>
      <c r="E671" s="8"/>
      <c r="F671" s="8"/>
      <c r="G671" s="8"/>
      <c r="H671" s="675"/>
      <c r="I671" s="675"/>
      <c r="J671" s="675"/>
      <c r="K671" s="675"/>
      <c r="L671" s="675"/>
      <c r="M671" s="675"/>
      <c r="N671" s="675"/>
      <c r="O671" s="675"/>
      <c r="P671" s="675"/>
      <c r="Q671" s="675"/>
      <c r="R671" s="675"/>
      <c r="S671" s="675"/>
      <c r="T671" s="675"/>
      <c r="U671" s="8"/>
      <c r="V671" s="8"/>
      <c r="W671" s="8"/>
      <c r="X671" s="8"/>
      <c r="Y671" s="8"/>
      <c r="Z671" s="8"/>
      <c r="AA671" s="8"/>
      <c r="AB671" s="8"/>
      <c r="AC671" s="8"/>
    </row>
    <row r="672" ht="12.75" customHeight="1" spans="1:29" x14ac:dyDescent="0.25">
      <c r="A672" s="8"/>
      <c r="B672" s="8"/>
      <c r="C672" s="8"/>
      <c r="D672" s="8"/>
      <c r="E672" s="8"/>
      <c r="F672" s="8"/>
      <c r="G672" s="8"/>
      <c r="H672" s="675"/>
      <c r="I672" s="675"/>
      <c r="J672" s="675"/>
      <c r="K672" s="675"/>
      <c r="L672" s="675"/>
      <c r="M672" s="675"/>
      <c r="N672" s="675"/>
      <c r="O672" s="675"/>
      <c r="P672" s="675"/>
      <c r="Q672" s="675"/>
      <c r="R672" s="675"/>
      <c r="S672" s="675"/>
      <c r="T672" s="675"/>
      <c r="U672" s="8"/>
      <c r="V672" s="8"/>
      <c r="W672" s="8"/>
      <c r="X672" s="8"/>
      <c r="Y672" s="8"/>
      <c r="Z672" s="8"/>
      <c r="AA672" s="8"/>
      <c r="AB672" s="8"/>
      <c r="AC672" s="8"/>
    </row>
    <row r="673" ht="12.75" customHeight="1" spans="1:29" x14ac:dyDescent="0.25">
      <c r="A673" s="8"/>
      <c r="B673" s="8"/>
      <c r="C673" s="8"/>
      <c r="D673" s="8"/>
      <c r="E673" s="8"/>
      <c r="F673" s="8"/>
      <c r="G673" s="8"/>
      <c r="H673" s="675"/>
      <c r="I673" s="675"/>
      <c r="J673" s="675"/>
      <c r="K673" s="675"/>
      <c r="L673" s="675"/>
      <c r="M673" s="675"/>
      <c r="N673" s="675"/>
      <c r="O673" s="675"/>
      <c r="P673" s="675"/>
      <c r="Q673" s="675"/>
      <c r="R673" s="675"/>
      <c r="S673" s="675"/>
      <c r="T673" s="675"/>
      <c r="U673" s="8"/>
      <c r="V673" s="8"/>
      <c r="W673" s="8"/>
      <c r="X673" s="8"/>
      <c r="Y673" s="8"/>
      <c r="Z673" s="8"/>
      <c r="AA673" s="8"/>
      <c r="AB673" s="8"/>
      <c r="AC673" s="8"/>
    </row>
    <row r="674" ht="12.75" customHeight="1" spans="1:29" x14ac:dyDescent="0.25">
      <c r="A674" s="8"/>
      <c r="B674" s="8"/>
      <c r="C674" s="8"/>
      <c r="D674" s="8"/>
      <c r="E674" s="8"/>
      <c r="F674" s="8"/>
      <c r="G674" s="8"/>
      <c r="H674" s="675"/>
      <c r="I674" s="675"/>
      <c r="J674" s="675"/>
      <c r="K674" s="675"/>
      <c r="L674" s="675"/>
      <c r="M674" s="675"/>
      <c r="N674" s="675"/>
      <c r="O674" s="675"/>
      <c r="P674" s="675"/>
      <c r="Q674" s="675"/>
      <c r="R674" s="675"/>
      <c r="S674" s="675"/>
      <c r="T674" s="675"/>
      <c r="U674" s="8"/>
      <c r="V674" s="8"/>
      <c r="W674" s="8"/>
      <c r="X674" s="8"/>
      <c r="Y674" s="8"/>
      <c r="Z674" s="8"/>
      <c r="AA674" s="8"/>
      <c r="AB674" s="8"/>
      <c r="AC674" s="8"/>
    </row>
    <row r="675" ht="12.75" customHeight="1" spans="1:29" x14ac:dyDescent="0.25">
      <c r="A675" s="8"/>
      <c r="B675" s="8"/>
      <c r="C675" s="8"/>
      <c r="D675" s="8"/>
      <c r="E675" s="8"/>
      <c r="F675" s="8"/>
      <c r="G675" s="8"/>
      <c r="H675" s="675"/>
      <c r="I675" s="675"/>
      <c r="J675" s="675"/>
      <c r="K675" s="675"/>
      <c r="L675" s="675"/>
      <c r="M675" s="675"/>
      <c r="N675" s="675"/>
      <c r="O675" s="675"/>
      <c r="P675" s="675"/>
      <c r="Q675" s="675"/>
      <c r="R675" s="675"/>
      <c r="S675" s="675"/>
      <c r="T675" s="675"/>
      <c r="U675" s="8"/>
      <c r="V675" s="8"/>
      <c r="W675" s="8"/>
      <c r="X675" s="8"/>
      <c r="Y675" s="8"/>
      <c r="Z675" s="8"/>
      <c r="AA675" s="8"/>
      <c r="AB675" s="8"/>
      <c r="AC675" s="8"/>
    </row>
    <row r="676" ht="12.75" customHeight="1" spans="1:29" x14ac:dyDescent="0.25">
      <c r="A676" s="8"/>
      <c r="B676" s="8"/>
      <c r="C676" s="8"/>
      <c r="D676" s="8"/>
      <c r="E676" s="8"/>
      <c r="F676" s="8"/>
      <c r="G676" s="8"/>
      <c r="H676" s="675"/>
      <c r="I676" s="675"/>
      <c r="J676" s="675"/>
      <c r="K676" s="675"/>
      <c r="L676" s="675"/>
      <c r="M676" s="675"/>
      <c r="N676" s="675"/>
      <c r="O676" s="675"/>
      <c r="P676" s="675"/>
      <c r="Q676" s="675"/>
      <c r="R676" s="675"/>
      <c r="S676" s="675"/>
      <c r="T676" s="675"/>
      <c r="U676" s="8"/>
      <c r="V676" s="8"/>
      <c r="W676" s="8"/>
      <c r="X676" s="8"/>
      <c r="Y676" s="8"/>
      <c r="Z676" s="8"/>
      <c r="AA676" s="8"/>
      <c r="AB676" s="8"/>
      <c r="AC676" s="8"/>
    </row>
    <row r="677" ht="12.75" customHeight="1" spans="1:29" x14ac:dyDescent="0.25">
      <c r="A677" s="8"/>
      <c r="B677" s="8"/>
      <c r="C677" s="8"/>
      <c r="D677" s="8"/>
      <c r="E677" s="8"/>
      <c r="F677" s="8"/>
      <c r="G677" s="8"/>
      <c r="H677" s="675"/>
      <c r="I677" s="675"/>
      <c r="J677" s="675"/>
      <c r="K677" s="675"/>
      <c r="L677" s="675"/>
      <c r="M677" s="675"/>
      <c r="N677" s="675"/>
      <c r="O677" s="675"/>
      <c r="P677" s="675"/>
      <c r="Q677" s="675"/>
      <c r="R677" s="675"/>
      <c r="S677" s="675"/>
      <c r="T677" s="675"/>
      <c r="U677" s="8"/>
      <c r="V677" s="8"/>
      <c r="W677" s="8"/>
      <c r="X677" s="8"/>
      <c r="Y677" s="8"/>
      <c r="Z677" s="8"/>
      <c r="AA677" s="8"/>
      <c r="AB677" s="8"/>
      <c r="AC677" s="8"/>
    </row>
    <row r="678" ht="12.75" customHeight="1" spans="1:29" x14ac:dyDescent="0.25">
      <c r="A678" s="8"/>
      <c r="B678" s="8"/>
      <c r="C678" s="8"/>
      <c r="D678" s="8"/>
      <c r="E678" s="8"/>
      <c r="F678" s="8"/>
      <c r="G678" s="8"/>
      <c r="H678" s="675"/>
      <c r="I678" s="675"/>
      <c r="J678" s="675"/>
      <c r="K678" s="675"/>
      <c r="L678" s="675"/>
      <c r="M678" s="675"/>
      <c r="N678" s="675"/>
      <c r="O678" s="675"/>
      <c r="P678" s="675"/>
      <c r="Q678" s="675"/>
      <c r="R678" s="675"/>
      <c r="S678" s="675"/>
      <c r="T678" s="675"/>
      <c r="U678" s="8"/>
      <c r="V678" s="8"/>
      <c r="W678" s="8"/>
      <c r="X678" s="8"/>
      <c r="Y678" s="8"/>
      <c r="Z678" s="8"/>
      <c r="AA678" s="8"/>
      <c r="AB678" s="8"/>
      <c r="AC678" s="8"/>
    </row>
    <row r="679" ht="12.75" customHeight="1" spans="1:29" x14ac:dyDescent="0.25">
      <c r="A679" s="8"/>
      <c r="B679" s="8"/>
      <c r="C679" s="8"/>
      <c r="D679" s="8"/>
      <c r="E679" s="8"/>
      <c r="F679" s="8"/>
      <c r="G679" s="8"/>
      <c r="H679" s="675"/>
      <c r="I679" s="675"/>
      <c r="J679" s="675"/>
      <c r="K679" s="675"/>
      <c r="L679" s="675"/>
      <c r="M679" s="675"/>
      <c r="N679" s="675"/>
      <c r="O679" s="675"/>
      <c r="P679" s="675"/>
      <c r="Q679" s="675"/>
      <c r="R679" s="675"/>
      <c r="S679" s="675"/>
      <c r="T679" s="675"/>
      <c r="U679" s="8"/>
      <c r="V679" s="8"/>
      <c r="W679" s="8"/>
      <c r="X679" s="8"/>
      <c r="Y679" s="8"/>
      <c r="Z679" s="8"/>
      <c r="AA679" s="8"/>
      <c r="AB679" s="8"/>
      <c r="AC679" s="8"/>
    </row>
    <row r="680" ht="12.75" customHeight="1" spans="1:29" x14ac:dyDescent="0.25">
      <c r="A680" s="8"/>
      <c r="B680" s="8"/>
      <c r="C680" s="8"/>
      <c r="D680" s="8"/>
      <c r="E680" s="8"/>
      <c r="F680" s="8"/>
      <c r="G680" s="8"/>
      <c r="H680" s="675"/>
      <c r="I680" s="675"/>
      <c r="J680" s="675"/>
      <c r="K680" s="675"/>
      <c r="L680" s="675"/>
      <c r="M680" s="675"/>
      <c r="N680" s="675"/>
      <c r="O680" s="675"/>
      <c r="P680" s="675"/>
      <c r="Q680" s="675"/>
      <c r="R680" s="675"/>
      <c r="S680" s="675"/>
      <c r="T680" s="675"/>
      <c r="U680" s="8"/>
      <c r="V680" s="8"/>
      <c r="W680" s="8"/>
      <c r="X680" s="8"/>
      <c r="Y680" s="8"/>
      <c r="Z680" s="8"/>
      <c r="AA680" s="8"/>
      <c r="AB680" s="8"/>
      <c r="AC680" s="8"/>
    </row>
    <row r="681" ht="12.75" customHeight="1" spans="1:29" x14ac:dyDescent="0.25">
      <c r="A681" s="8"/>
      <c r="B681" s="8"/>
      <c r="C681" s="8"/>
      <c r="D681" s="8"/>
      <c r="E681" s="8"/>
      <c r="F681" s="8"/>
      <c r="G681" s="8"/>
      <c r="H681" s="675"/>
      <c r="I681" s="675"/>
      <c r="J681" s="675"/>
      <c r="K681" s="675"/>
      <c r="L681" s="675"/>
      <c r="M681" s="675"/>
      <c r="N681" s="675"/>
      <c r="O681" s="675"/>
      <c r="P681" s="675"/>
      <c r="Q681" s="675"/>
      <c r="R681" s="675"/>
      <c r="S681" s="675"/>
      <c r="T681" s="675"/>
      <c r="U681" s="8"/>
      <c r="V681" s="8"/>
      <c r="W681" s="8"/>
      <c r="X681" s="8"/>
      <c r="Y681" s="8"/>
      <c r="Z681" s="8"/>
      <c r="AA681" s="8"/>
      <c r="AB681" s="8"/>
      <c r="AC681" s="8"/>
    </row>
    <row r="682" ht="12.75" customHeight="1" spans="1:29" x14ac:dyDescent="0.25">
      <c r="A682" s="8"/>
      <c r="B682" s="8"/>
      <c r="C682" s="8"/>
      <c r="D682" s="8"/>
      <c r="E682" s="8"/>
      <c r="F682" s="8"/>
      <c r="G682" s="8"/>
      <c r="H682" s="675"/>
      <c r="I682" s="675"/>
      <c r="J682" s="675"/>
      <c r="K682" s="675"/>
      <c r="L682" s="675"/>
      <c r="M682" s="675"/>
      <c r="N682" s="675"/>
      <c r="O682" s="675"/>
      <c r="P682" s="675"/>
      <c r="Q682" s="675"/>
      <c r="R682" s="675"/>
      <c r="S682" s="675"/>
      <c r="T682" s="675"/>
      <c r="U682" s="8"/>
      <c r="V682" s="8"/>
      <c r="W682" s="8"/>
      <c r="X682" s="8"/>
      <c r="Y682" s="8"/>
      <c r="Z682" s="8"/>
      <c r="AA682" s="8"/>
      <c r="AB682" s="8"/>
      <c r="AC682" s="8"/>
    </row>
    <row r="683" ht="12.75" customHeight="1" spans="1:29" x14ac:dyDescent="0.25">
      <c r="A683" s="8"/>
      <c r="B683" s="8"/>
      <c r="C683" s="8"/>
      <c r="D683" s="8"/>
      <c r="E683" s="8"/>
      <c r="F683" s="8"/>
      <c r="G683" s="8"/>
      <c r="H683" s="675"/>
      <c r="I683" s="675"/>
      <c r="J683" s="675"/>
      <c r="K683" s="675"/>
      <c r="L683" s="675"/>
      <c r="M683" s="675"/>
      <c r="N683" s="675"/>
      <c r="O683" s="675"/>
      <c r="P683" s="675"/>
      <c r="Q683" s="675"/>
      <c r="R683" s="675"/>
      <c r="S683" s="675"/>
      <c r="T683" s="675"/>
      <c r="U683" s="8"/>
      <c r="V683" s="8"/>
      <c r="W683" s="8"/>
      <c r="X683" s="8"/>
      <c r="Y683" s="8"/>
      <c r="Z683" s="8"/>
      <c r="AA683" s="8"/>
      <c r="AB683" s="8"/>
      <c r="AC683" s="8"/>
    </row>
    <row r="684" ht="12.75" customHeight="1" spans="1:29" x14ac:dyDescent="0.25">
      <c r="A684" s="8"/>
      <c r="B684" s="8"/>
      <c r="C684" s="8"/>
      <c r="D684" s="8"/>
      <c r="E684" s="8"/>
      <c r="F684" s="8"/>
      <c r="G684" s="8"/>
      <c r="H684" s="675"/>
      <c r="I684" s="675"/>
      <c r="J684" s="675"/>
      <c r="K684" s="675"/>
      <c r="L684" s="675"/>
      <c r="M684" s="675"/>
      <c r="N684" s="675"/>
      <c r="O684" s="675"/>
      <c r="P684" s="675"/>
      <c r="Q684" s="675"/>
      <c r="R684" s="675"/>
      <c r="S684" s="675"/>
      <c r="T684" s="675"/>
      <c r="U684" s="8"/>
      <c r="V684" s="8"/>
      <c r="W684" s="8"/>
      <c r="X684" s="8"/>
      <c r="Y684" s="8"/>
      <c r="Z684" s="8"/>
      <c r="AA684" s="8"/>
      <c r="AB684" s="8"/>
      <c r="AC684" s="8"/>
    </row>
    <row r="685" ht="12.75" customHeight="1" spans="1:29" x14ac:dyDescent="0.25">
      <c r="A685" s="8"/>
      <c r="B685" s="8"/>
      <c r="C685" s="8"/>
      <c r="D685" s="8"/>
      <c r="E685" s="8"/>
      <c r="F685" s="8"/>
      <c r="G685" s="8"/>
      <c r="H685" s="675"/>
      <c r="I685" s="675"/>
      <c r="J685" s="675"/>
      <c r="K685" s="675"/>
      <c r="L685" s="675"/>
      <c r="M685" s="675"/>
      <c r="N685" s="675"/>
      <c r="O685" s="675"/>
      <c r="P685" s="675"/>
      <c r="Q685" s="675"/>
      <c r="R685" s="675"/>
      <c r="S685" s="675"/>
      <c r="T685" s="675"/>
      <c r="U685" s="8"/>
      <c r="V685" s="8"/>
      <c r="W685" s="8"/>
      <c r="X685" s="8"/>
      <c r="Y685" s="8"/>
      <c r="Z685" s="8"/>
      <c r="AA685" s="8"/>
      <c r="AB685" s="8"/>
      <c r="AC685" s="8"/>
    </row>
    <row r="686" ht="12.75" customHeight="1" spans="1:29" x14ac:dyDescent="0.25">
      <c r="A686" s="8"/>
      <c r="B686" s="8"/>
      <c r="C686" s="8"/>
      <c r="D686" s="8"/>
      <c r="E686" s="8"/>
      <c r="F686" s="8"/>
      <c r="G686" s="8"/>
      <c r="H686" s="675"/>
      <c r="I686" s="675"/>
      <c r="J686" s="675"/>
      <c r="K686" s="675"/>
      <c r="L686" s="675"/>
      <c r="M686" s="675"/>
      <c r="N686" s="675"/>
      <c r="O686" s="675"/>
      <c r="P686" s="675"/>
      <c r="Q686" s="675"/>
      <c r="R686" s="675"/>
      <c r="S686" s="675"/>
      <c r="T686" s="675"/>
      <c r="U686" s="8"/>
      <c r="V686" s="8"/>
      <c r="W686" s="8"/>
      <c r="X686" s="8"/>
      <c r="Y686" s="8"/>
      <c r="Z686" s="8"/>
      <c r="AA686" s="8"/>
      <c r="AB686" s="8"/>
      <c r="AC686" s="8"/>
    </row>
    <row r="687" ht="12.75" customHeight="1" spans="1:29" x14ac:dyDescent="0.25">
      <c r="A687" s="8"/>
      <c r="B687" s="8"/>
      <c r="C687" s="8"/>
      <c r="D687" s="8"/>
      <c r="E687" s="8"/>
      <c r="F687" s="8"/>
      <c r="G687" s="8"/>
      <c r="H687" s="675"/>
      <c r="I687" s="675"/>
      <c r="J687" s="675"/>
      <c r="K687" s="675"/>
      <c r="L687" s="675"/>
      <c r="M687" s="675"/>
      <c r="N687" s="675"/>
      <c r="O687" s="675"/>
      <c r="P687" s="675"/>
      <c r="Q687" s="675"/>
      <c r="R687" s="675"/>
      <c r="S687" s="675"/>
      <c r="T687" s="675"/>
      <c r="U687" s="8"/>
      <c r="V687" s="8"/>
      <c r="W687" s="8"/>
      <c r="X687" s="8"/>
      <c r="Y687" s="8"/>
      <c r="Z687" s="8"/>
      <c r="AA687" s="8"/>
      <c r="AB687" s="8"/>
      <c r="AC687" s="8"/>
    </row>
    <row r="688" ht="12.75" customHeight="1" spans="1:29" x14ac:dyDescent="0.25">
      <c r="A688" s="8"/>
      <c r="B688" s="8"/>
      <c r="C688" s="8"/>
      <c r="D688" s="8"/>
      <c r="E688" s="8"/>
      <c r="F688" s="8"/>
      <c r="G688" s="8"/>
      <c r="H688" s="675"/>
      <c r="I688" s="675"/>
      <c r="J688" s="675"/>
      <c r="K688" s="675"/>
      <c r="L688" s="675"/>
      <c r="M688" s="675"/>
      <c r="N688" s="675"/>
      <c r="O688" s="675"/>
      <c r="P688" s="675"/>
      <c r="Q688" s="675"/>
      <c r="R688" s="675"/>
      <c r="S688" s="675"/>
      <c r="T688" s="675"/>
      <c r="U688" s="8"/>
      <c r="V688" s="8"/>
      <c r="W688" s="8"/>
      <c r="X688" s="8"/>
      <c r="Y688" s="8"/>
      <c r="Z688" s="8"/>
      <c r="AA688" s="8"/>
      <c r="AB688" s="8"/>
      <c r="AC688" s="8"/>
    </row>
    <row r="689" ht="12.75" customHeight="1" spans="1:29" x14ac:dyDescent="0.25">
      <c r="A689" s="8"/>
      <c r="B689" s="8"/>
      <c r="C689" s="8"/>
      <c r="D689" s="8"/>
      <c r="E689" s="8"/>
      <c r="F689" s="8"/>
      <c r="G689" s="8"/>
      <c r="H689" s="675"/>
      <c r="I689" s="675"/>
      <c r="J689" s="675"/>
      <c r="K689" s="675"/>
      <c r="L689" s="675"/>
      <c r="M689" s="675"/>
      <c r="N689" s="675"/>
      <c r="O689" s="675"/>
      <c r="P689" s="675"/>
      <c r="Q689" s="675"/>
      <c r="R689" s="675"/>
      <c r="S689" s="675"/>
      <c r="T689" s="675"/>
      <c r="U689" s="8"/>
      <c r="V689" s="8"/>
      <c r="W689" s="8"/>
      <c r="X689" s="8"/>
      <c r="Y689" s="8"/>
      <c r="Z689" s="8"/>
      <c r="AA689" s="8"/>
      <c r="AB689" s="8"/>
      <c r="AC689" s="8"/>
    </row>
    <row r="690" ht="12.75" customHeight="1" spans="1:29" x14ac:dyDescent="0.25">
      <c r="A690" s="8"/>
      <c r="B690" s="8"/>
      <c r="C690" s="8"/>
      <c r="D690" s="8"/>
      <c r="E690" s="8"/>
      <c r="F690" s="8"/>
      <c r="G690" s="8"/>
      <c r="H690" s="675"/>
      <c r="I690" s="675"/>
      <c r="J690" s="675"/>
      <c r="K690" s="675"/>
      <c r="L690" s="675"/>
      <c r="M690" s="675"/>
      <c r="N690" s="675"/>
      <c r="O690" s="675"/>
      <c r="P690" s="675"/>
      <c r="Q690" s="675"/>
      <c r="R690" s="675"/>
      <c r="S690" s="675"/>
      <c r="T690" s="675"/>
      <c r="U690" s="8"/>
      <c r="V690" s="8"/>
      <c r="W690" s="8"/>
      <c r="X690" s="8"/>
      <c r="Y690" s="8"/>
      <c r="Z690" s="8"/>
      <c r="AA690" s="8"/>
      <c r="AB690" s="8"/>
      <c r="AC690" s="8"/>
    </row>
    <row r="691" ht="12.75" customHeight="1" spans="1:29" x14ac:dyDescent="0.25">
      <c r="A691" s="8"/>
      <c r="B691" s="8"/>
      <c r="C691" s="8"/>
      <c r="D691" s="8"/>
      <c r="E691" s="8"/>
      <c r="F691" s="8"/>
      <c r="G691" s="8"/>
      <c r="H691" s="675"/>
      <c r="I691" s="675"/>
      <c r="J691" s="675"/>
      <c r="K691" s="675"/>
      <c r="L691" s="675"/>
      <c r="M691" s="675"/>
      <c r="N691" s="675"/>
      <c r="O691" s="675"/>
      <c r="P691" s="675"/>
      <c r="Q691" s="675"/>
      <c r="R691" s="675"/>
      <c r="S691" s="675"/>
      <c r="T691" s="675"/>
      <c r="U691" s="8"/>
      <c r="V691" s="8"/>
      <c r="W691" s="8"/>
      <c r="X691" s="8"/>
      <c r="Y691" s="8"/>
      <c r="Z691" s="8"/>
      <c r="AA691" s="8"/>
      <c r="AB691" s="8"/>
      <c r="AC691" s="8"/>
    </row>
    <row r="692" ht="12.75" customHeight="1" spans="1:29" x14ac:dyDescent="0.25">
      <c r="A692" s="8"/>
      <c r="B692" s="8"/>
      <c r="C692" s="8"/>
      <c r="D692" s="8"/>
      <c r="E692" s="8"/>
      <c r="F692" s="8"/>
      <c r="G692" s="8"/>
      <c r="H692" s="675"/>
      <c r="I692" s="675"/>
      <c r="J692" s="675"/>
      <c r="K692" s="675"/>
      <c r="L692" s="675"/>
      <c r="M692" s="675"/>
      <c r="N692" s="675"/>
      <c r="O692" s="675"/>
      <c r="P692" s="675"/>
      <c r="Q692" s="675"/>
      <c r="R692" s="675"/>
      <c r="S692" s="675"/>
      <c r="T692" s="675"/>
      <c r="U692" s="8"/>
      <c r="V692" s="8"/>
      <c r="W692" s="8"/>
      <c r="X692" s="8"/>
      <c r="Y692" s="8"/>
      <c r="Z692" s="8"/>
      <c r="AA692" s="8"/>
      <c r="AB692" s="8"/>
      <c r="AC692" s="8"/>
    </row>
    <row r="693" ht="12.75" customHeight="1" spans="1:29" x14ac:dyDescent="0.25">
      <c r="A693" s="8"/>
      <c r="B693" s="8"/>
      <c r="C693" s="8"/>
      <c r="D693" s="8"/>
      <c r="E693" s="8"/>
      <c r="F693" s="8"/>
      <c r="G693" s="8"/>
      <c r="H693" s="675"/>
      <c r="I693" s="675"/>
      <c r="J693" s="675"/>
      <c r="K693" s="675"/>
      <c r="L693" s="675"/>
      <c r="M693" s="675"/>
      <c r="N693" s="675"/>
      <c r="O693" s="675"/>
      <c r="P693" s="675"/>
      <c r="Q693" s="675"/>
      <c r="R693" s="675"/>
      <c r="S693" s="675"/>
      <c r="T693" s="675"/>
      <c r="U693" s="8"/>
      <c r="V693" s="8"/>
      <c r="W693" s="8"/>
      <c r="X693" s="8"/>
      <c r="Y693" s="8"/>
      <c r="Z693" s="8"/>
      <c r="AA693" s="8"/>
      <c r="AB693" s="8"/>
      <c r="AC693" s="8"/>
    </row>
    <row r="694" ht="12.75" customHeight="1" spans="1:29" x14ac:dyDescent="0.25">
      <c r="A694" s="8"/>
      <c r="B694" s="8"/>
      <c r="C694" s="8"/>
      <c r="D694" s="8"/>
      <c r="E694" s="8"/>
      <c r="F694" s="8"/>
      <c r="G694" s="8"/>
      <c r="H694" s="675"/>
      <c r="I694" s="675"/>
      <c r="J694" s="675"/>
      <c r="K694" s="675"/>
      <c r="L694" s="675"/>
      <c r="M694" s="675"/>
      <c r="N694" s="675"/>
      <c r="O694" s="675"/>
      <c r="P694" s="675"/>
      <c r="Q694" s="675"/>
      <c r="R694" s="675"/>
      <c r="S694" s="675"/>
      <c r="T694" s="675"/>
      <c r="U694" s="8"/>
      <c r="V694" s="8"/>
      <c r="W694" s="8"/>
      <c r="X694" s="8"/>
      <c r="Y694" s="8"/>
      <c r="Z694" s="8"/>
      <c r="AA694" s="8"/>
      <c r="AB694" s="8"/>
      <c r="AC694" s="8"/>
    </row>
    <row r="695" ht="12.75" customHeight="1" spans="1:29" x14ac:dyDescent="0.25">
      <c r="A695" s="8"/>
      <c r="B695" s="8"/>
      <c r="C695" s="8"/>
      <c r="D695" s="8"/>
      <c r="E695" s="8"/>
      <c r="F695" s="8"/>
      <c r="G695" s="8"/>
      <c r="H695" s="675"/>
      <c r="I695" s="675"/>
      <c r="J695" s="675"/>
      <c r="K695" s="675"/>
      <c r="L695" s="675"/>
      <c r="M695" s="675"/>
      <c r="N695" s="675"/>
      <c r="O695" s="675"/>
      <c r="P695" s="675"/>
      <c r="Q695" s="675"/>
      <c r="R695" s="675"/>
      <c r="S695" s="675"/>
      <c r="T695" s="675"/>
      <c r="U695" s="8"/>
      <c r="V695" s="8"/>
      <c r="W695" s="8"/>
      <c r="X695" s="8"/>
      <c r="Y695" s="8"/>
      <c r="Z695" s="8"/>
      <c r="AA695" s="8"/>
      <c r="AB695" s="8"/>
      <c r="AC695" s="8"/>
    </row>
    <row r="696" ht="12.75" customHeight="1" spans="1:29" x14ac:dyDescent="0.25">
      <c r="A696" s="8"/>
      <c r="B696" s="8"/>
      <c r="C696" s="8"/>
      <c r="D696" s="8"/>
      <c r="E696" s="8"/>
      <c r="F696" s="8"/>
      <c r="G696" s="8"/>
      <c r="H696" s="675"/>
      <c r="I696" s="675"/>
      <c r="J696" s="675"/>
      <c r="K696" s="675"/>
      <c r="L696" s="675"/>
      <c r="M696" s="675"/>
      <c r="N696" s="675"/>
      <c r="O696" s="675"/>
      <c r="P696" s="675"/>
      <c r="Q696" s="675"/>
      <c r="R696" s="675"/>
      <c r="S696" s="675"/>
      <c r="T696" s="675"/>
      <c r="U696" s="8"/>
      <c r="V696" s="8"/>
      <c r="W696" s="8"/>
      <c r="X696" s="8"/>
      <c r="Y696" s="8"/>
      <c r="Z696" s="8"/>
      <c r="AA696" s="8"/>
      <c r="AB696" s="8"/>
      <c r="AC696" s="8"/>
    </row>
    <row r="697" ht="12.75" customHeight="1" spans="1:29" x14ac:dyDescent="0.25">
      <c r="A697" s="8"/>
      <c r="B697" s="8"/>
      <c r="C697" s="8"/>
      <c r="D697" s="8"/>
      <c r="E697" s="8"/>
      <c r="F697" s="8"/>
      <c r="G697" s="8"/>
      <c r="H697" s="675"/>
      <c r="I697" s="675"/>
      <c r="J697" s="675"/>
      <c r="K697" s="675"/>
      <c r="L697" s="675"/>
      <c r="M697" s="675"/>
      <c r="N697" s="675"/>
      <c r="O697" s="675"/>
      <c r="P697" s="675"/>
      <c r="Q697" s="675"/>
      <c r="R697" s="675"/>
      <c r="S697" s="675"/>
      <c r="T697" s="675"/>
      <c r="U697" s="8"/>
      <c r="V697" s="8"/>
      <c r="W697" s="8"/>
      <c r="X697" s="8"/>
      <c r="Y697" s="8"/>
      <c r="Z697" s="8"/>
      <c r="AA697" s="8"/>
      <c r="AB697" s="8"/>
      <c r="AC697" s="8"/>
    </row>
    <row r="698" ht="12.75" customHeight="1" spans="1:29" x14ac:dyDescent="0.25">
      <c r="A698" s="8"/>
      <c r="B698" s="8"/>
      <c r="C698" s="8"/>
      <c r="D698" s="8"/>
      <c r="E698" s="8"/>
      <c r="F698" s="8"/>
      <c r="G698" s="8"/>
      <c r="H698" s="675"/>
      <c r="I698" s="675"/>
      <c r="J698" s="675"/>
      <c r="K698" s="675"/>
      <c r="L698" s="675"/>
      <c r="M698" s="675"/>
      <c r="N698" s="675"/>
      <c r="O698" s="675"/>
      <c r="P698" s="675"/>
      <c r="Q698" s="675"/>
      <c r="R698" s="675"/>
      <c r="S698" s="675"/>
      <c r="T698" s="675"/>
      <c r="U698" s="8"/>
      <c r="V698" s="8"/>
      <c r="W698" s="8"/>
      <c r="X698" s="8"/>
      <c r="Y698" s="8"/>
      <c r="Z698" s="8"/>
      <c r="AA698" s="8"/>
      <c r="AB698" s="8"/>
      <c r="AC698" s="8"/>
    </row>
    <row r="699" ht="12.75" customHeight="1" spans="1:29" x14ac:dyDescent="0.25">
      <c r="A699" s="8"/>
      <c r="B699" s="8"/>
      <c r="C699" s="8"/>
      <c r="D699" s="8"/>
      <c r="E699" s="8"/>
      <c r="F699" s="8"/>
      <c r="G699" s="8"/>
      <c r="H699" s="675"/>
      <c r="I699" s="675"/>
      <c r="J699" s="675"/>
      <c r="K699" s="675"/>
      <c r="L699" s="675"/>
      <c r="M699" s="675"/>
      <c r="N699" s="675"/>
      <c r="O699" s="675"/>
      <c r="P699" s="675"/>
      <c r="Q699" s="675"/>
      <c r="R699" s="675"/>
      <c r="S699" s="675"/>
      <c r="T699" s="675"/>
      <c r="U699" s="8"/>
      <c r="V699" s="8"/>
      <c r="W699" s="8"/>
      <c r="X699" s="8"/>
      <c r="Y699" s="8"/>
      <c r="Z699" s="8"/>
      <c r="AA699" s="8"/>
      <c r="AB699" s="8"/>
      <c r="AC699" s="8"/>
    </row>
    <row r="700" ht="12.75" customHeight="1" spans="1:29" x14ac:dyDescent="0.25">
      <c r="A700" s="8"/>
      <c r="B700" s="8"/>
      <c r="C700" s="8"/>
      <c r="D700" s="8"/>
      <c r="E700" s="8"/>
      <c r="F700" s="8"/>
      <c r="G700" s="8"/>
      <c r="H700" s="675"/>
      <c r="I700" s="675"/>
      <c r="J700" s="675"/>
      <c r="K700" s="675"/>
      <c r="L700" s="675"/>
      <c r="M700" s="675"/>
      <c r="N700" s="675"/>
      <c r="O700" s="675"/>
      <c r="P700" s="675"/>
      <c r="Q700" s="675"/>
      <c r="R700" s="675"/>
      <c r="S700" s="675"/>
      <c r="T700" s="675"/>
      <c r="U700" s="8"/>
      <c r="V700" s="8"/>
      <c r="W700" s="8"/>
      <c r="X700" s="8"/>
      <c r="Y700" s="8"/>
      <c r="Z700" s="8"/>
      <c r="AA700" s="8"/>
      <c r="AB700" s="8"/>
      <c r="AC700" s="8"/>
    </row>
    <row r="701" ht="12.75" customHeight="1" spans="1:29" x14ac:dyDescent="0.25">
      <c r="A701" s="8"/>
      <c r="B701" s="8"/>
      <c r="C701" s="8"/>
      <c r="D701" s="8"/>
      <c r="E701" s="8"/>
      <c r="F701" s="8"/>
      <c r="G701" s="8"/>
      <c r="H701" s="675"/>
      <c r="I701" s="675"/>
      <c r="J701" s="675"/>
      <c r="K701" s="675"/>
      <c r="L701" s="675"/>
      <c r="M701" s="675"/>
      <c r="N701" s="675"/>
      <c r="O701" s="675"/>
      <c r="P701" s="675"/>
      <c r="Q701" s="675"/>
      <c r="R701" s="675"/>
      <c r="S701" s="675"/>
      <c r="T701" s="675"/>
      <c r="U701" s="8"/>
      <c r="V701" s="8"/>
      <c r="W701" s="8"/>
      <c r="X701" s="8"/>
      <c r="Y701" s="8"/>
      <c r="Z701" s="8"/>
      <c r="AA701" s="8"/>
      <c r="AB701" s="8"/>
      <c r="AC701" s="8"/>
    </row>
    <row r="702" ht="12.75" customHeight="1" spans="1:29" x14ac:dyDescent="0.25">
      <c r="A702" s="8"/>
      <c r="B702" s="8"/>
      <c r="C702" s="8"/>
      <c r="D702" s="8"/>
      <c r="E702" s="8"/>
      <c r="F702" s="8"/>
      <c r="G702" s="8"/>
      <c r="H702" s="675"/>
      <c r="I702" s="675"/>
      <c r="J702" s="675"/>
      <c r="K702" s="675"/>
      <c r="L702" s="675"/>
      <c r="M702" s="675"/>
      <c r="N702" s="675"/>
      <c r="O702" s="675"/>
      <c r="P702" s="675"/>
      <c r="Q702" s="675"/>
      <c r="R702" s="675"/>
      <c r="S702" s="675"/>
      <c r="T702" s="675"/>
      <c r="U702" s="8"/>
      <c r="V702" s="8"/>
      <c r="W702" s="8"/>
      <c r="X702" s="8"/>
      <c r="Y702" s="8"/>
      <c r="Z702" s="8"/>
      <c r="AA702" s="8"/>
      <c r="AB702" s="8"/>
      <c r="AC702" s="8"/>
    </row>
    <row r="703" ht="12.75" customHeight="1" spans="1:29" x14ac:dyDescent="0.25">
      <c r="A703" s="8"/>
      <c r="B703" s="8"/>
      <c r="C703" s="8"/>
      <c r="D703" s="8"/>
      <c r="E703" s="8"/>
      <c r="F703" s="8"/>
      <c r="G703" s="8"/>
      <c r="H703" s="675"/>
      <c r="I703" s="675"/>
      <c r="J703" s="675"/>
      <c r="K703" s="675"/>
      <c r="L703" s="675"/>
      <c r="M703" s="675"/>
      <c r="N703" s="675"/>
      <c r="O703" s="675"/>
      <c r="P703" s="675"/>
      <c r="Q703" s="675"/>
      <c r="R703" s="675"/>
      <c r="S703" s="675"/>
      <c r="T703" s="675"/>
      <c r="U703" s="8"/>
      <c r="V703" s="8"/>
      <c r="W703" s="8"/>
      <c r="X703" s="8"/>
      <c r="Y703" s="8"/>
      <c r="Z703" s="8"/>
      <c r="AA703" s="8"/>
      <c r="AB703" s="8"/>
      <c r="AC703" s="8"/>
    </row>
    <row r="704" ht="12.75" customHeight="1" spans="1:29" x14ac:dyDescent="0.25">
      <c r="A704" s="8"/>
      <c r="B704" s="8"/>
      <c r="C704" s="8"/>
      <c r="D704" s="8"/>
      <c r="E704" s="8"/>
      <c r="F704" s="8"/>
      <c r="G704" s="8"/>
      <c r="H704" s="675"/>
      <c r="I704" s="675"/>
      <c r="J704" s="675"/>
      <c r="K704" s="675"/>
      <c r="L704" s="675"/>
      <c r="M704" s="675"/>
      <c r="N704" s="675"/>
      <c r="O704" s="675"/>
      <c r="P704" s="675"/>
      <c r="Q704" s="675"/>
      <c r="R704" s="675"/>
      <c r="S704" s="675"/>
      <c r="T704" s="675"/>
      <c r="U704" s="8"/>
      <c r="V704" s="8"/>
      <c r="W704" s="8"/>
      <c r="X704" s="8"/>
      <c r="Y704" s="8"/>
      <c r="Z704" s="8"/>
      <c r="AA704" s="8"/>
      <c r="AB704" s="8"/>
      <c r="AC704" s="8"/>
    </row>
    <row r="705" ht="12.75" customHeight="1" spans="1:29" x14ac:dyDescent="0.25">
      <c r="A705" s="8"/>
      <c r="B705" s="8"/>
      <c r="C705" s="8"/>
      <c r="D705" s="8"/>
      <c r="E705" s="8"/>
      <c r="F705" s="8"/>
      <c r="G705" s="8"/>
      <c r="H705" s="675"/>
      <c r="I705" s="675"/>
      <c r="J705" s="675"/>
      <c r="K705" s="675"/>
      <c r="L705" s="675"/>
      <c r="M705" s="675"/>
      <c r="N705" s="675"/>
      <c r="O705" s="675"/>
      <c r="P705" s="675"/>
      <c r="Q705" s="675"/>
      <c r="R705" s="675"/>
      <c r="S705" s="675"/>
      <c r="T705" s="675"/>
      <c r="U705" s="8"/>
      <c r="V705" s="8"/>
      <c r="W705" s="8"/>
      <c r="X705" s="8"/>
      <c r="Y705" s="8"/>
      <c r="Z705" s="8"/>
      <c r="AA705" s="8"/>
      <c r="AB705" s="8"/>
      <c r="AC705" s="8"/>
    </row>
    <row r="706" ht="12.75" customHeight="1" spans="1:29" x14ac:dyDescent="0.25">
      <c r="A706" s="8"/>
      <c r="B706" s="8"/>
      <c r="C706" s="8"/>
      <c r="D706" s="8"/>
      <c r="E706" s="8"/>
      <c r="F706" s="8"/>
      <c r="G706" s="8"/>
      <c r="H706" s="675"/>
      <c r="I706" s="675"/>
      <c r="J706" s="675"/>
      <c r="K706" s="675"/>
      <c r="L706" s="675"/>
      <c r="M706" s="675"/>
      <c r="N706" s="675"/>
      <c r="O706" s="675"/>
      <c r="P706" s="675"/>
      <c r="Q706" s="675"/>
      <c r="R706" s="675"/>
      <c r="S706" s="675"/>
      <c r="T706" s="675"/>
      <c r="U706" s="8"/>
      <c r="V706" s="8"/>
      <c r="W706" s="8"/>
      <c r="X706" s="8"/>
      <c r="Y706" s="8"/>
      <c r="Z706" s="8"/>
      <c r="AA706" s="8"/>
      <c r="AB706" s="8"/>
      <c r="AC706" s="8"/>
    </row>
    <row r="707" ht="12.75" customHeight="1" spans="1:29" x14ac:dyDescent="0.25">
      <c r="A707" s="8"/>
      <c r="B707" s="8"/>
      <c r="C707" s="8"/>
      <c r="D707" s="8"/>
      <c r="E707" s="8"/>
      <c r="F707" s="8"/>
      <c r="G707" s="8"/>
      <c r="H707" s="675"/>
      <c r="I707" s="675"/>
      <c r="J707" s="675"/>
      <c r="K707" s="675"/>
      <c r="L707" s="675"/>
      <c r="M707" s="675"/>
      <c r="N707" s="675"/>
      <c r="O707" s="675"/>
      <c r="P707" s="675"/>
      <c r="Q707" s="675"/>
      <c r="R707" s="675"/>
      <c r="S707" s="675"/>
      <c r="T707" s="675"/>
      <c r="U707" s="8"/>
      <c r="V707" s="8"/>
      <c r="W707" s="8"/>
      <c r="X707" s="8"/>
      <c r="Y707" s="8"/>
      <c r="Z707" s="8"/>
      <c r="AA707" s="8"/>
      <c r="AB707" s="8"/>
      <c r="AC707" s="8"/>
    </row>
    <row r="708" ht="12.75" customHeight="1" spans="1:29" x14ac:dyDescent="0.25">
      <c r="A708" s="8"/>
      <c r="B708" s="8"/>
      <c r="C708" s="8"/>
      <c r="D708" s="8"/>
      <c r="E708" s="8"/>
      <c r="F708" s="8"/>
      <c r="G708" s="8"/>
      <c r="H708" s="675"/>
      <c r="I708" s="675"/>
      <c r="J708" s="675"/>
      <c r="K708" s="675"/>
      <c r="L708" s="675"/>
      <c r="M708" s="675"/>
      <c r="N708" s="675"/>
      <c r="O708" s="675"/>
      <c r="P708" s="675"/>
      <c r="Q708" s="675"/>
      <c r="R708" s="675"/>
      <c r="S708" s="675"/>
      <c r="T708" s="675"/>
      <c r="U708" s="8"/>
      <c r="V708" s="8"/>
      <c r="W708" s="8"/>
      <c r="X708" s="8"/>
      <c r="Y708" s="8"/>
      <c r="Z708" s="8"/>
      <c r="AA708" s="8"/>
      <c r="AB708" s="8"/>
      <c r="AC708" s="8"/>
    </row>
    <row r="709" ht="12.75" customHeight="1" spans="1:29" x14ac:dyDescent="0.25">
      <c r="A709" s="8"/>
      <c r="B709" s="8"/>
      <c r="C709" s="8"/>
      <c r="D709" s="8"/>
      <c r="E709" s="8"/>
      <c r="F709" s="8"/>
      <c r="G709" s="8"/>
      <c r="H709" s="675"/>
      <c r="I709" s="675"/>
      <c r="J709" s="675"/>
      <c r="K709" s="675"/>
      <c r="L709" s="675"/>
      <c r="M709" s="675"/>
      <c r="N709" s="675"/>
      <c r="O709" s="675"/>
      <c r="P709" s="675"/>
      <c r="Q709" s="675"/>
      <c r="R709" s="675"/>
      <c r="S709" s="675"/>
      <c r="T709" s="675"/>
      <c r="U709" s="8"/>
      <c r="V709" s="8"/>
      <c r="W709" s="8"/>
      <c r="X709" s="8"/>
      <c r="Y709" s="8"/>
      <c r="Z709" s="8"/>
      <c r="AA709" s="8"/>
      <c r="AB709" s="8"/>
      <c r="AC709" s="8"/>
    </row>
    <row r="710" ht="12.75" customHeight="1" spans="1:29" x14ac:dyDescent="0.25">
      <c r="A710" s="8"/>
      <c r="B710" s="8"/>
      <c r="C710" s="8"/>
      <c r="D710" s="8"/>
      <c r="E710" s="8"/>
      <c r="F710" s="8"/>
      <c r="G710" s="8"/>
      <c r="H710" s="675"/>
      <c r="I710" s="675"/>
      <c r="J710" s="675"/>
      <c r="K710" s="675"/>
      <c r="L710" s="675"/>
      <c r="M710" s="675"/>
      <c r="N710" s="675"/>
      <c r="O710" s="675"/>
      <c r="P710" s="675"/>
      <c r="Q710" s="675"/>
      <c r="R710" s="675"/>
      <c r="S710" s="675"/>
      <c r="T710" s="675"/>
      <c r="U710" s="8"/>
      <c r="V710" s="8"/>
      <c r="W710" s="8"/>
      <c r="X710" s="8"/>
      <c r="Y710" s="8"/>
      <c r="Z710" s="8"/>
      <c r="AA710" s="8"/>
      <c r="AB710" s="8"/>
      <c r="AC710" s="8"/>
    </row>
    <row r="711" ht="12.75" customHeight="1" spans="1:29" x14ac:dyDescent="0.25">
      <c r="A711" s="8"/>
      <c r="B711" s="8"/>
      <c r="C711" s="8"/>
      <c r="D711" s="8"/>
      <c r="E711" s="8"/>
      <c r="F711" s="8"/>
      <c r="G711" s="8"/>
      <c r="H711" s="675"/>
      <c r="I711" s="675"/>
      <c r="J711" s="675"/>
      <c r="K711" s="675"/>
      <c r="L711" s="675"/>
      <c r="M711" s="675"/>
      <c r="N711" s="675"/>
      <c r="O711" s="675"/>
      <c r="P711" s="675"/>
      <c r="Q711" s="675"/>
      <c r="R711" s="675"/>
      <c r="S711" s="675"/>
      <c r="T711" s="675"/>
      <c r="U711" s="8"/>
      <c r="V711" s="8"/>
      <c r="W711" s="8"/>
      <c r="X711" s="8"/>
      <c r="Y711" s="8"/>
      <c r="Z711" s="8"/>
      <c r="AA711" s="8"/>
      <c r="AB711" s="8"/>
      <c r="AC711" s="8"/>
    </row>
    <row r="712" ht="12.75" customHeight="1" spans="1:29" x14ac:dyDescent="0.25">
      <c r="A712" s="8"/>
      <c r="B712" s="8"/>
      <c r="C712" s="8"/>
      <c r="D712" s="8"/>
      <c r="E712" s="8"/>
      <c r="F712" s="8"/>
      <c r="G712" s="8"/>
      <c r="H712" s="675"/>
      <c r="I712" s="675"/>
      <c r="J712" s="675"/>
      <c r="K712" s="675"/>
      <c r="L712" s="675"/>
      <c r="M712" s="675"/>
      <c r="N712" s="675"/>
      <c r="O712" s="675"/>
      <c r="P712" s="675"/>
      <c r="Q712" s="675"/>
      <c r="R712" s="675"/>
      <c r="S712" s="675"/>
      <c r="T712" s="675"/>
      <c r="U712" s="8"/>
      <c r="V712" s="8"/>
      <c r="W712" s="8"/>
      <c r="X712" s="8"/>
      <c r="Y712" s="8"/>
      <c r="Z712" s="8"/>
      <c r="AA712" s="8"/>
      <c r="AB712" s="8"/>
      <c r="AC712" s="8"/>
    </row>
    <row r="713" ht="12.75" customHeight="1" spans="1:29" x14ac:dyDescent="0.25">
      <c r="A713" s="8"/>
      <c r="B713" s="8"/>
      <c r="C713" s="8"/>
      <c r="D713" s="8"/>
      <c r="E713" s="8"/>
      <c r="F713" s="8"/>
      <c r="G713" s="8"/>
      <c r="H713" s="675"/>
      <c r="I713" s="675"/>
      <c r="J713" s="675"/>
      <c r="K713" s="675"/>
      <c r="L713" s="675"/>
      <c r="M713" s="675"/>
      <c r="N713" s="675"/>
      <c r="O713" s="675"/>
      <c r="P713" s="675"/>
      <c r="Q713" s="675"/>
      <c r="R713" s="675"/>
      <c r="S713" s="675"/>
      <c r="T713" s="675"/>
      <c r="U713" s="8"/>
      <c r="V713" s="8"/>
      <c r="W713" s="8"/>
      <c r="X713" s="8"/>
      <c r="Y713" s="8"/>
      <c r="Z713" s="8"/>
      <c r="AA713" s="8"/>
      <c r="AB713" s="8"/>
      <c r="AC713" s="8"/>
    </row>
    <row r="714" ht="12.75" customHeight="1" spans="1:29" x14ac:dyDescent="0.25">
      <c r="A714" s="8"/>
      <c r="B714" s="8"/>
      <c r="C714" s="8"/>
      <c r="D714" s="8"/>
      <c r="E714" s="8"/>
      <c r="F714" s="8"/>
      <c r="G714" s="8"/>
      <c r="H714" s="675"/>
      <c r="I714" s="675"/>
      <c r="J714" s="675"/>
      <c r="K714" s="675"/>
      <c r="L714" s="675"/>
      <c r="M714" s="675"/>
      <c r="N714" s="675"/>
      <c r="O714" s="675"/>
      <c r="P714" s="675"/>
      <c r="Q714" s="675"/>
      <c r="R714" s="675"/>
      <c r="S714" s="675"/>
      <c r="T714" s="675"/>
      <c r="U714" s="8"/>
      <c r="V714" s="8"/>
      <c r="W714" s="8"/>
      <c r="X714" s="8"/>
      <c r="Y714" s="8"/>
      <c r="Z714" s="8"/>
      <c r="AA714" s="8"/>
      <c r="AB714" s="8"/>
      <c r="AC714" s="8"/>
    </row>
    <row r="715" ht="12.75" customHeight="1" spans="1:29" x14ac:dyDescent="0.25">
      <c r="A715" s="8"/>
      <c r="B715" s="8"/>
      <c r="C715" s="8"/>
      <c r="D715" s="8"/>
      <c r="E715" s="8"/>
      <c r="F715" s="8"/>
      <c r="G715" s="8"/>
      <c r="H715" s="675"/>
      <c r="I715" s="675"/>
      <c r="J715" s="675"/>
      <c r="K715" s="675"/>
      <c r="L715" s="675"/>
      <c r="M715" s="675"/>
      <c r="N715" s="675"/>
      <c r="O715" s="675"/>
      <c r="P715" s="675"/>
      <c r="Q715" s="675"/>
      <c r="R715" s="675"/>
      <c r="S715" s="675"/>
      <c r="T715" s="675"/>
      <c r="U715" s="8"/>
      <c r="V715" s="8"/>
      <c r="W715" s="8"/>
      <c r="X715" s="8"/>
      <c r="Y715" s="8"/>
      <c r="Z715" s="8"/>
      <c r="AA715" s="8"/>
      <c r="AB715" s="8"/>
      <c r="AC715" s="8"/>
    </row>
    <row r="716" ht="12.75" customHeight="1" spans="1:29" x14ac:dyDescent="0.25">
      <c r="A716" s="8"/>
      <c r="B716" s="8"/>
      <c r="C716" s="8"/>
      <c r="D716" s="8"/>
      <c r="E716" s="8"/>
      <c r="F716" s="8"/>
      <c r="G716" s="8"/>
      <c r="H716" s="675"/>
      <c r="I716" s="675"/>
      <c r="J716" s="675"/>
      <c r="K716" s="675"/>
      <c r="L716" s="675"/>
      <c r="M716" s="675"/>
      <c r="N716" s="675"/>
      <c r="O716" s="675"/>
      <c r="P716" s="675"/>
      <c r="Q716" s="675"/>
      <c r="R716" s="675"/>
      <c r="S716" s="675"/>
      <c r="T716" s="675"/>
      <c r="U716" s="8"/>
      <c r="V716" s="8"/>
      <c r="W716" s="8"/>
      <c r="X716" s="8"/>
      <c r="Y716" s="8"/>
      <c r="Z716" s="8"/>
      <c r="AA716" s="8"/>
      <c r="AB716" s="8"/>
      <c r="AC716" s="8"/>
    </row>
    <row r="717" ht="12.75" customHeight="1" spans="1:29" x14ac:dyDescent="0.25">
      <c r="A717" s="8"/>
      <c r="B717" s="8"/>
      <c r="C717" s="8"/>
      <c r="D717" s="8"/>
      <c r="E717" s="8"/>
      <c r="F717" s="8"/>
      <c r="G717" s="8"/>
      <c r="H717" s="675"/>
      <c r="I717" s="675"/>
      <c r="J717" s="675"/>
      <c r="K717" s="675"/>
      <c r="L717" s="675"/>
      <c r="M717" s="675"/>
      <c r="N717" s="675"/>
      <c r="O717" s="675"/>
      <c r="P717" s="675"/>
      <c r="Q717" s="675"/>
      <c r="R717" s="675"/>
      <c r="S717" s="675"/>
      <c r="T717" s="675"/>
      <c r="U717" s="8"/>
      <c r="V717" s="8"/>
      <c r="W717" s="8"/>
      <c r="X717" s="8"/>
      <c r="Y717" s="8"/>
      <c r="Z717" s="8"/>
      <c r="AA717" s="8"/>
      <c r="AB717" s="8"/>
      <c r="AC717" s="8"/>
    </row>
    <row r="718" ht="12.75" customHeight="1" spans="1:29" x14ac:dyDescent="0.25">
      <c r="A718" s="8"/>
      <c r="B718" s="8"/>
      <c r="C718" s="8"/>
      <c r="D718" s="8"/>
      <c r="E718" s="8"/>
      <c r="F718" s="8"/>
      <c r="G718" s="8"/>
      <c r="H718" s="675"/>
      <c r="I718" s="675"/>
      <c r="J718" s="675"/>
      <c r="K718" s="675"/>
      <c r="L718" s="675"/>
      <c r="M718" s="675"/>
      <c r="N718" s="675"/>
      <c r="O718" s="675"/>
      <c r="P718" s="675"/>
      <c r="Q718" s="675"/>
      <c r="R718" s="675"/>
      <c r="S718" s="675"/>
      <c r="T718" s="675"/>
      <c r="U718" s="8"/>
      <c r="V718" s="8"/>
      <c r="W718" s="8"/>
      <c r="X718" s="8"/>
      <c r="Y718" s="8"/>
      <c r="Z718" s="8"/>
      <c r="AA718" s="8"/>
      <c r="AB718" s="8"/>
      <c r="AC718" s="8"/>
    </row>
    <row r="719" ht="12.75" customHeight="1" spans="1:29" x14ac:dyDescent="0.25">
      <c r="A719" s="8"/>
      <c r="B719" s="8"/>
      <c r="C719" s="8"/>
      <c r="D719" s="8"/>
      <c r="E719" s="8"/>
      <c r="F719" s="8"/>
      <c r="G719" s="8"/>
      <c r="H719" s="675"/>
      <c r="I719" s="675"/>
      <c r="J719" s="675"/>
      <c r="K719" s="675"/>
      <c r="L719" s="675"/>
      <c r="M719" s="675"/>
      <c r="N719" s="675"/>
      <c r="O719" s="675"/>
      <c r="P719" s="675"/>
      <c r="Q719" s="675"/>
      <c r="R719" s="675"/>
      <c r="S719" s="675"/>
      <c r="T719" s="675"/>
      <c r="U719" s="8"/>
      <c r="V719" s="8"/>
      <c r="W719" s="8"/>
      <c r="X719" s="8"/>
      <c r="Y719" s="8"/>
      <c r="Z719" s="8"/>
      <c r="AA719" s="8"/>
      <c r="AB719" s="8"/>
      <c r="AC719" s="8"/>
    </row>
    <row r="720" ht="12.75" customHeight="1" spans="1:29" x14ac:dyDescent="0.25">
      <c r="A720" s="8"/>
      <c r="B720" s="8"/>
      <c r="C720" s="8"/>
      <c r="D720" s="8"/>
      <c r="E720" s="8"/>
      <c r="F720" s="8"/>
      <c r="G720" s="8"/>
      <c r="H720" s="675"/>
      <c r="I720" s="675"/>
      <c r="J720" s="675"/>
      <c r="K720" s="675"/>
      <c r="L720" s="675"/>
      <c r="M720" s="675"/>
      <c r="N720" s="675"/>
      <c r="O720" s="675"/>
      <c r="P720" s="675"/>
      <c r="Q720" s="675"/>
      <c r="R720" s="675"/>
      <c r="S720" s="675"/>
      <c r="T720" s="675"/>
      <c r="U720" s="8"/>
      <c r="V720" s="8"/>
      <c r="W720" s="8"/>
      <c r="X720" s="8"/>
      <c r="Y720" s="8"/>
      <c r="Z720" s="8"/>
      <c r="AA720" s="8"/>
      <c r="AB720" s="8"/>
      <c r="AC720" s="8"/>
    </row>
    <row r="721" ht="12.75" customHeight="1" spans="1:29" x14ac:dyDescent="0.25">
      <c r="A721" s="8"/>
      <c r="B721" s="8"/>
      <c r="C721" s="8"/>
      <c r="D721" s="8"/>
      <c r="E721" s="8"/>
      <c r="F721" s="8"/>
      <c r="G721" s="8"/>
      <c r="H721" s="675"/>
      <c r="I721" s="675"/>
      <c r="J721" s="675"/>
      <c r="K721" s="675"/>
      <c r="L721" s="675"/>
      <c r="M721" s="675"/>
      <c r="N721" s="675"/>
      <c r="O721" s="675"/>
      <c r="P721" s="675"/>
      <c r="Q721" s="675"/>
      <c r="R721" s="675"/>
      <c r="S721" s="675"/>
      <c r="T721" s="675"/>
      <c r="U721" s="8"/>
      <c r="V721" s="8"/>
      <c r="W721" s="8"/>
      <c r="X721" s="8"/>
      <c r="Y721" s="8"/>
      <c r="Z721" s="8"/>
      <c r="AA721" s="8"/>
      <c r="AB721" s="8"/>
      <c r="AC721" s="8"/>
    </row>
    <row r="722" ht="12.75" customHeight="1" spans="1:29" x14ac:dyDescent="0.25">
      <c r="A722" s="8"/>
      <c r="B722" s="8"/>
      <c r="C722" s="8"/>
      <c r="D722" s="8"/>
      <c r="E722" s="8"/>
      <c r="F722" s="8"/>
      <c r="G722" s="8"/>
      <c r="H722" s="675"/>
      <c r="I722" s="675"/>
      <c r="J722" s="675"/>
      <c r="K722" s="675"/>
      <c r="L722" s="675"/>
      <c r="M722" s="675"/>
      <c r="N722" s="675"/>
      <c r="O722" s="675"/>
      <c r="P722" s="675"/>
      <c r="Q722" s="675"/>
      <c r="R722" s="675"/>
      <c r="S722" s="675"/>
      <c r="T722" s="675"/>
      <c r="U722" s="8"/>
      <c r="V722" s="8"/>
      <c r="W722" s="8"/>
      <c r="X722" s="8"/>
      <c r="Y722" s="8"/>
      <c r="Z722" s="8"/>
      <c r="AA722" s="8"/>
      <c r="AB722" s="8"/>
      <c r="AC722" s="8"/>
    </row>
    <row r="723" ht="12.75" customHeight="1" spans="1:29" x14ac:dyDescent="0.25">
      <c r="A723" s="8"/>
      <c r="B723" s="8"/>
      <c r="C723" s="8"/>
      <c r="D723" s="8"/>
      <c r="E723" s="8"/>
      <c r="F723" s="8"/>
      <c r="G723" s="8"/>
      <c r="H723" s="675"/>
      <c r="I723" s="675"/>
      <c r="J723" s="675"/>
      <c r="K723" s="675"/>
      <c r="L723" s="675"/>
      <c r="M723" s="675"/>
      <c r="N723" s="675"/>
      <c r="O723" s="675"/>
      <c r="P723" s="675"/>
      <c r="Q723" s="675"/>
      <c r="R723" s="675"/>
      <c r="S723" s="675"/>
      <c r="T723" s="675"/>
      <c r="U723" s="8"/>
      <c r="V723" s="8"/>
      <c r="W723" s="8"/>
      <c r="X723" s="8"/>
      <c r="Y723" s="8"/>
      <c r="Z723" s="8"/>
      <c r="AA723" s="8"/>
      <c r="AB723" s="8"/>
      <c r="AC723" s="8"/>
    </row>
    <row r="724" ht="12.75" customHeight="1" spans="1:29" x14ac:dyDescent="0.25">
      <c r="A724" s="8"/>
      <c r="B724" s="8"/>
      <c r="C724" s="8"/>
      <c r="D724" s="8"/>
      <c r="E724" s="8"/>
      <c r="F724" s="8"/>
      <c r="G724" s="8"/>
      <c r="H724" s="675"/>
      <c r="I724" s="675"/>
      <c r="J724" s="675"/>
      <c r="K724" s="675"/>
      <c r="L724" s="675"/>
      <c r="M724" s="675"/>
      <c r="N724" s="675"/>
      <c r="O724" s="675"/>
      <c r="P724" s="675"/>
      <c r="Q724" s="675"/>
      <c r="R724" s="675"/>
      <c r="S724" s="675"/>
      <c r="T724" s="675"/>
      <c r="U724" s="8"/>
      <c r="V724" s="8"/>
      <c r="W724" s="8"/>
      <c r="X724" s="8"/>
      <c r="Y724" s="8"/>
      <c r="Z724" s="8"/>
      <c r="AA724" s="8"/>
      <c r="AB724" s="8"/>
      <c r="AC724" s="8"/>
    </row>
    <row r="725" ht="12.75" customHeight="1" spans="1:29" x14ac:dyDescent="0.25">
      <c r="A725" s="8"/>
      <c r="B725" s="8"/>
      <c r="C725" s="8"/>
      <c r="D725" s="8"/>
      <c r="E725" s="8"/>
      <c r="F725" s="8"/>
      <c r="G725" s="8"/>
      <c r="H725" s="675"/>
      <c r="I725" s="675"/>
      <c r="J725" s="675"/>
      <c r="K725" s="675"/>
      <c r="L725" s="675"/>
      <c r="M725" s="675"/>
      <c r="N725" s="675"/>
      <c r="O725" s="675"/>
      <c r="P725" s="675"/>
      <c r="Q725" s="675"/>
      <c r="R725" s="675"/>
      <c r="S725" s="675"/>
      <c r="T725" s="675"/>
      <c r="U725" s="8"/>
      <c r="V725" s="8"/>
      <c r="W725" s="8"/>
      <c r="X725" s="8"/>
      <c r="Y725" s="8"/>
      <c r="Z725" s="8"/>
      <c r="AA725" s="8"/>
      <c r="AB725" s="8"/>
      <c r="AC725" s="8"/>
    </row>
    <row r="726" ht="12.75" customHeight="1" spans="1:29" x14ac:dyDescent="0.25">
      <c r="A726" s="8"/>
      <c r="B726" s="8"/>
      <c r="C726" s="8"/>
      <c r="D726" s="8"/>
      <c r="E726" s="8"/>
      <c r="F726" s="8"/>
      <c r="G726" s="8"/>
      <c r="H726" s="675"/>
      <c r="I726" s="675"/>
      <c r="J726" s="675"/>
      <c r="K726" s="675"/>
      <c r="L726" s="675"/>
      <c r="M726" s="675"/>
      <c r="N726" s="675"/>
      <c r="O726" s="675"/>
      <c r="P726" s="675"/>
      <c r="Q726" s="675"/>
      <c r="R726" s="675"/>
      <c r="S726" s="675"/>
      <c r="T726" s="675"/>
      <c r="U726" s="8"/>
      <c r="V726" s="8"/>
      <c r="W726" s="8"/>
      <c r="X726" s="8"/>
      <c r="Y726" s="8"/>
      <c r="Z726" s="8"/>
      <c r="AA726" s="8"/>
      <c r="AB726" s="8"/>
      <c r="AC726" s="8"/>
    </row>
    <row r="727" ht="12.75" customHeight="1" spans="1:29" x14ac:dyDescent="0.25">
      <c r="A727" s="8"/>
      <c r="B727" s="8"/>
      <c r="C727" s="8"/>
      <c r="D727" s="8"/>
      <c r="E727" s="8"/>
      <c r="F727" s="8"/>
      <c r="G727" s="8"/>
      <c r="H727" s="675"/>
      <c r="I727" s="675"/>
      <c r="J727" s="675"/>
      <c r="K727" s="675"/>
      <c r="L727" s="675"/>
      <c r="M727" s="675"/>
      <c r="N727" s="675"/>
      <c r="O727" s="675"/>
      <c r="P727" s="675"/>
      <c r="Q727" s="675"/>
      <c r="R727" s="675"/>
      <c r="S727" s="675"/>
      <c r="T727" s="675"/>
      <c r="U727" s="8"/>
      <c r="V727" s="8"/>
      <c r="W727" s="8"/>
      <c r="X727" s="8"/>
      <c r="Y727" s="8"/>
      <c r="Z727" s="8"/>
      <c r="AA727" s="8"/>
      <c r="AB727" s="8"/>
      <c r="AC727" s="8"/>
    </row>
    <row r="728" ht="12.75" customHeight="1" spans="1:29" x14ac:dyDescent="0.25">
      <c r="A728" s="8"/>
      <c r="B728" s="8"/>
      <c r="C728" s="8"/>
      <c r="D728" s="8"/>
      <c r="E728" s="8"/>
      <c r="F728" s="8"/>
      <c r="G728" s="8"/>
      <c r="H728" s="675"/>
      <c r="I728" s="675"/>
      <c r="J728" s="675"/>
      <c r="K728" s="675"/>
      <c r="L728" s="675"/>
      <c r="M728" s="675"/>
      <c r="N728" s="675"/>
      <c r="O728" s="675"/>
      <c r="P728" s="675"/>
      <c r="Q728" s="675"/>
      <c r="R728" s="675"/>
      <c r="S728" s="675"/>
      <c r="T728" s="675"/>
      <c r="U728" s="8"/>
      <c r="V728" s="8"/>
      <c r="W728" s="8"/>
      <c r="X728" s="8"/>
      <c r="Y728" s="8"/>
      <c r="Z728" s="8"/>
      <c r="AA728" s="8"/>
      <c r="AB728" s="8"/>
      <c r="AC728" s="8"/>
    </row>
    <row r="729" ht="12.75" customHeight="1" spans="1:29" x14ac:dyDescent="0.25">
      <c r="A729" s="8"/>
      <c r="B729" s="8"/>
      <c r="C729" s="8"/>
      <c r="D729" s="8"/>
      <c r="E729" s="8"/>
      <c r="F729" s="8"/>
      <c r="G729" s="8"/>
      <c r="H729" s="675"/>
      <c r="I729" s="675"/>
      <c r="J729" s="675"/>
      <c r="K729" s="675"/>
      <c r="L729" s="675"/>
      <c r="M729" s="675"/>
      <c r="N729" s="675"/>
      <c r="O729" s="675"/>
      <c r="P729" s="675"/>
      <c r="Q729" s="675"/>
      <c r="R729" s="675"/>
      <c r="S729" s="675"/>
      <c r="T729" s="675"/>
      <c r="U729" s="8"/>
      <c r="V729" s="8"/>
      <c r="W729" s="8"/>
      <c r="X729" s="8"/>
      <c r="Y729" s="8"/>
      <c r="Z729" s="8"/>
      <c r="AA729" s="8"/>
      <c r="AB729" s="8"/>
      <c r="AC729" s="8"/>
    </row>
    <row r="730" ht="12.75" customHeight="1" spans="1:29" x14ac:dyDescent="0.25">
      <c r="A730" s="8"/>
      <c r="B730" s="8"/>
      <c r="C730" s="8"/>
      <c r="D730" s="8"/>
      <c r="E730" s="8"/>
      <c r="F730" s="8"/>
      <c r="G730" s="8"/>
      <c r="H730" s="675"/>
      <c r="I730" s="675"/>
      <c r="J730" s="675"/>
      <c r="K730" s="675"/>
      <c r="L730" s="675"/>
      <c r="M730" s="675"/>
      <c r="N730" s="675"/>
      <c r="O730" s="675"/>
      <c r="P730" s="675"/>
      <c r="Q730" s="675"/>
      <c r="R730" s="675"/>
      <c r="S730" s="675"/>
      <c r="T730" s="675"/>
      <c r="U730" s="8"/>
      <c r="V730" s="8"/>
      <c r="W730" s="8"/>
      <c r="X730" s="8"/>
      <c r="Y730" s="8"/>
      <c r="Z730" s="8"/>
      <c r="AA730" s="8"/>
      <c r="AB730" s="8"/>
      <c r="AC730" s="8"/>
    </row>
    <row r="731" ht="12.75" customHeight="1" spans="1:29" x14ac:dyDescent="0.25">
      <c r="A731" s="8"/>
      <c r="B731" s="8"/>
      <c r="C731" s="8"/>
      <c r="D731" s="8"/>
      <c r="E731" s="8"/>
      <c r="F731" s="8"/>
      <c r="G731" s="8"/>
      <c r="H731" s="675"/>
      <c r="I731" s="675"/>
      <c r="J731" s="675"/>
      <c r="K731" s="675"/>
      <c r="L731" s="675"/>
      <c r="M731" s="675"/>
      <c r="N731" s="675"/>
      <c r="O731" s="675"/>
      <c r="P731" s="675"/>
      <c r="Q731" s="675"/>
      <c r="R731" s="675"/>
      <c r="S731" s="675"/>
      <c r="T731" s="675"/>
      <c r="U731" s="8"/>
      <c r="V731" s="8"/>
      <c r="W731" s="8"/>
      <c r="X731" s="8"/>
      <c r="Y731" s="8"/>
      <c r="Z731" s="8"/>
      <c r="AA731" s="8"/>
      <c r="AB731" s="8"/>
      <c r="AC731" s="8"/>
    </row>
    <row r="732" ht="12.75" customHeight="1" spans="1:29" x14ac:dyDescent="0.25">
      <c r="A732" s="8"/>
      <c r="B732" s="8"/>
      <c r="C732" s="8"/>
      <c r="D732" s="8"/>
      <c r="E732" s="8"/>
      <c r="F732" s="8"/>
      <c r="G732" s="8"/>
      <c r="H732" s="675"/>
      <c r="I732" s="675"/>
      <c r="J732" s="675"/>
      <c r="K732" s="675"/>
      <c r="L732" s="675"/>
      <c r="M732" s="675"/>
      <c r="N732" s="675"/>
      <c r="O732" s="675"/>
      <c r="P732" s="675"/>
      <c r="Q732" s="675"/>
      <c r="R732" s="675"/>
      <c r="S732" s="675"/>
      <c r="T732" s="675"/>
      <c r="U732" s="8"/>
      <c r="V732" s="8"/>
      <c r="W732" s="8"/>
      <c r="X732" s="8"/>
      <c r="Y732" s="8"/>
      <c r="Z732" s="8"/>
      <c r="AA732" s="8"/>
      <c r="AB732" s="8"/>
      <c r="AC732" s="8"/>
    </row>
    <row r="733" ht="12.75" customHeight="1" spans="1:29" x14ac:dyDescent="0.25">
      <c r="A733" s="8"/>
      <c r="B733" s="8"/>
      <c r="C733" s="8"/>
      <c r="D733" s="8"/>
      <c r="E733" s="8"/>
      <c r="F733" s="8"/>
      <c r="G733" s="8"/>
      <c r="H733" s="675"/>
      <c r="I733" s="675"/>
      <c r="J733" s="675"/>
      <c r="K733" s="675"/>
      <c r="L733" s="675"/>
      <c r="M733" s="675"/>
      <c r="N733" s="675"/>
      <c r="O733" s="675"/>
      <c r="P733" s="675"/>
      <c r="Q733" s="675"/>
      <c r="R733" s="675"/>
      <c r="S733" s="675"/>
      <c r="T733" s="675"/>
      <c r="U733" s="8"/>
      <c r="V733" s="8"/>
      <c r="W733" s="8"/>
      <c r="X733" s="8"/>
      <c r="Y733" s="8"/>
      <c r="Z733" s="8"/>
      <c r="AA733" s="8"/>
      <c r="AB733" s="8"/>
      <c r="AC733" s="8"/>
    </row>
    <row r="734" ht="12.75" customHeight="1" spans="1:29" x14ac:dyDescent="0.25">
      <c r="A734" s="8"/>
      <c r="B734" s="8"/>
      <c r="C734" s="8"/>
      <c r="D734" s="8"/>
      <c r="E734" s="8"/>
      <c r="F734" s="8"/>
      <c r="G734" s="8"/>
      <c r="H734" s="675"/>
      <c r="I734" s="675"/>
      <c r="J734" s="675"/>
      <c r="K734" s="675"/>
      <c r="L734" s="675"/>
      <c r="M734" s="675"/>
      <c r="N734" s="675"/>
      <c r="O734" s="675"/>
      <c r="P734" s="675"/>
      <c r="Q734" s="675"/>
      <c r="R734" s="675"/>
      <c r="S734" s="675"/>
      <c r="T734" s="675"/>
      <c r="U734" s="8"/>
      <c r="V734" s="8"/>
      <c r="W734" s="8"/>
      <c r="X734" s="8"/>
      <c r="Y734" s="8"/>
      <c r="Z734" s="8"/>
      <c r="AA734" s="8"/>
      <c r="AB734" s="8"/>
      <c r="AC734" s="8"/>
    </row>
    <row r="735" ht="12.75" customHeight="1" spans="1:29" x14ac:dyDescent="0.25">
      <c r="A735" s="8"/>
      <c r="B735" s="8"/>
      <c r="C735" s="8"/>
      <c r="D735" s="8"/>
      <c r="E735" s="8"/>
      <c r="F735" s="8"/>
      <c r="G735" s="8"/>
      <c r="H735" s="675"/>
      <c r="I735" s="675"/>
      <c r="J735" s="675"/>
      <c r="K735" s="675"/>
      <c r="L735" s="675"/>
      <c r="M735" s="675"/>
      <c r="N735" s="675"/>
      <c r="O735" s="675"/>
      <c r="P735" s="675"/>
      <c r="Q735" s="675"/>
      <c r="R735" s="675"/>
      <c r="S735" s="675"/>
      <c r="T735" s="675"/>
      <c r="U735" s="8"/>
      <c r="V735" s="8"/>
      <c r="W735" s="8"/>
      <c r="X735" s="8"/>
      <c r="Y735" s="8"/>
      <c r="Z735" s="8"/>
      <c r="AA735" s="8"/>
      <c r="AB735" s="8"/>
      <c r="AC735" s="8"/>
    </row>
    <row r="736" ht="12.75" customHeight="1" spans="1:29" x14ac:dyDescent="0.25">
      <c r="A736" s="8"/>
      <c r="B736" s="8"/>
      <c r="C736" s="8"/>
      <c r="D736" s="8"/>
      <c r="E736" s="8"/>
      <c r="F736" s="8"/>
      <c r="G736" s="8"/>
      <c r="H736" s="675"/>
      <c r="I736" s="675"/>
      <c r="J736" s="675"/>
      <c r="K736" s="675"/>
      <c r="L736" s="675"/>
      <c r="M736" s="675"/>
      <c r="N736" s="675"/>
      <c r="O736" s="675"/>
      <c r="P736" s="675"/>
      <c r="Q736" s="675"/>
      <c r="R736" s="675"/>
      <c r="S736" s="675"/>
      <c r="T736" s="675"/>
      <c r="U736" s="8"/>
      <c r="V736" s="8"/>
      <c r="W736" s="8"/>
      <c r="X736" s="8"/>
      <c r="Y736" s="8"/>
      <c r="Z736" s="8"/>
      <c r="AA736" s="8"/>
      <c r="AB736" s="8"/>
      <c r="AC736" s="8"/>
    </row>
    <row r="737" ht="12.75" customHeight="1" spans="1:29" x14ac:dyDescent="0.25">
      <c r="A737" s="8"/>
      <c r="B737" s="8"/>
      <c r="C737" s="8"/>
      <c r="D737" s="8"/>
      <c r="E737" s="8"/>
      <c r="F737" s="8"/>
      <c r="G737" s="8"/>
      <c r="H737" s="675"/>
      <c r="I737" s="675"/>
      <c r="J737" s="675"/>
      <c r="K737" s="675"/>
      <c r="L737" s="675"/>
      <c r="M737" s="675"/>
      <c r="N737" s="675"/>
      <c r="O737" s="675"/>
      <c r="P737" s="675"/>
      <c r="Q737" s="675"/>
      <c r="R737" s="675"/>
      <c r="S737" s="675"/>
      <c r="T737" s="675"/>
      <c r="U737" s="8"/>
      <c r="V737" s="8"/>
      <c r="W737" s="8"/>
      <c r="X737" s="8"/>
      <c r="Y737" s="8"/>
      <c r="Z737" s="8"/>
      <c r="AA737" s="8"/>
      <c r="AB737" s="8"/>
      <c r="AC737" s="8"/>
    </row>
    <row r="738" ht="12.75" customHeight="1" spans="1:29" x14ac:dyDescent="0.25">
      <c r="A738" s="8"/>
      <c r="B738" s="8"/>
      <c r="C738" s="8"/>
      <c r="D738" s="8"/>
      <c r="E738" s="8"/>
      <c r="F738" s="8"/>
      <c r="G738" s="8"/>
      <c r="H738" s="675"/>
      <c r="I738" s="675"/>
      <c r="J738" s="675"/>
      <c r="K738" s="675"/>
      <c r="L738" s="675"/>
      <c r="M738" s="675"/>
      <c r="N738" s="675"/>
      <c r="O738" s="675"/>
      <c r="P738" s="675"/>
      <c r="Q738" s="675"/>
      <c r="R738" s="675"/>
      <c r="S738" s="675"/>
      <c r="T738" s="675"/>
      <c r="U738" s="8"/>
      <c r="V738" s="8"/>
      <c r="W738" s="8"/>
      <c r="X738" s="8"/>
      <c r="Y738" s="8"/>
      <c r="Z738" s="8"/>
      <c r="AA738" s="8"/>
      <c r="AB738" s="8"/>
      <c r="AC738" s="8"/>
    </row>
    <row r="739" ht="12.75" customHeight="1" spans="1:29" x14ac:dyDescent="0.25">
      <c r="A739" s="8"/>
      <c r="B739" s="8"/>
      <c r="C739" s="8"/>
      <c r="D739" s="8"/>
      <c r="E739" s="8"/>
      <c r="F739" s="8"/>
      <c r="G739" s="8"/>
      <c r="H739" s="675"/>
      <c r="I739" s="675"/>
      <c r="J739" s="675"/>
      <c r="K739" s="675"/>
      <c r="L739" s="675"/>
      <c r="M739" s="675"/>
      <c r="N739" s="675"/>
      <c r="O739" s="675"/>
      <c r="P739" s="675"/>
      <c r="Q739" s="675"/>
      <c r="R739" s="675"/>
      <c r="S739" s="675"/>
      <c r="T739" s="675"/>
      <c r="U739" s="8"/>
      <c r="V739" s="8"/>
      <c r="W739" s="8"/>
      <c r="X739" s="8"/>
      <c r="Y739" s="8"/>
      <c r="Z739" s="8"/>
      <c r="AA739" s="8"/>
      <c r="AB739" s="8"/>
      <c r="AC739" s="8"/>
    </row>
    <row r="740" ht="12.75" customHeight="1" spans="1:29" x14ac:dyDescent="0.25">
      <c r="A740" s="8"/>
      <c r="B740" s="8"/>
      <c r="C740" s="8"/>
      <c r="D740" s="8"/>
      <c r="E740" s="8"/>
      <c r="F740" s="8"/>
      <c r="G740" s="8"/>
      <c r="H740" s="675"/>
      <c r="I740" s="675"/>
      <c r="J740" s="675"/>
      <c r="K740" s="675"/>
      <c r="L740" s="675"/>
      <c r="M740" s="675"/>
      <c r="N740" s="675"/>
      <c r="O740" s="675"/>
      <c r="P740" s="675"/>
      <c r="Q740" s="675"/>
      <c r="R740" s="675"/>
      <c r="S740" s="675"/>
      <c r="T740" s="675"/>
      <c r="U740" s="8"/>
      <c r="V740" s="8"/>
      <c r="W740" s="8"/>
      <c r="X740" s="8"/>
      <c r="Y740" s="8"/>
      <c r="Z740" s="8"/>
      <c r="AA740" s="8"/>
      <c r="AB740" s="8"/>
      <c r="AC740" s="8"/>
    </row>
    <row r="741" ht="12.75" customHeight="1" spans="1:29" x14ac:dyDescent="0.25">
      <c r="A741" s="8"/>
      <c r="B741" s="8"/>
      <c r="C741" s="8"/>
      <c r="D741" s="8"/>
      <c r="E741" s="8"/>
      <c r="F741" s="8"/>
      <c r="G741" s="8"/>
      <c r="H741" s="675"/>
      <c r="I741" s="675"/>
      <c r="J741" s="675"/>
      <c r="K741" s="675"/>
      <c r="L741" s="675"/>
      <c r="M741" s="675"/>
      <c r="N741" s="675"/>
      <c r="O741" s="675"/>
      <c r="P741" s="675"/>
      <c r="Q741" s="675"/>
      <c r="R741" s="675"/>
      <c r="S741" s="675"/>
      <c r="T741" s="675"/>
      <c r="U741" s="8"/>
      <c r="V741" s="8"/>
      <c r="W741" s="8"/>
      <c r="X741" s="8"/>
      <c r="Y741" s="8"/>
      <c r="Z741" s="8"/>
      <c r="AA741" s="8"/>
      <c r="AB741" s="8"/>
      <c r="AC741" s="8"/>
    </row>
    <row r="742" ht="12.75" customHeight="1" spans="1:29" x14ac:dyDescent="0.25">
      <c r="A742" s="8"/>
      <c r="B742" s="8"/>
      <c r="C742" s="8"/>
      <c r="D742" s="8"/>
      <c r="E742" s="8"/>
      <c r="F742" s="8"/>
      <c r="G742" s="8"/>
      <c r="H742" s="675"/>
      <c r="I742" s="675"/>
      <c r="J742" s="675"/>
      <c r="K742" s="675"/>
      <c r="L742" s="675"/>
      <c r="M742" s="675"/>
      <c r="N742" s="675"/>
      <c r="O742" s="675"/>
      <c r="P742" s="675"/>
      <c r="Q742" s="675"/>
      <c r="R742" s="675"/>
      <c r="S742" s="675"/>
      <c r="T742" s="675"/>
      <c r="U742" s="8"/>
      <c r="V742" s="8"/>
      <c r="W742" s="8"/>
      <c r="X742" s="8"/>
      <c r="Y742" s="8"/>
      <c r="Z742" s="8"/>
      <c r="AA742" s="8"/>
      <c r="AB742" s="8"/>
      <c r="AC742" s="8"/>
    </row>
    <row r="743" ht="12.75" customHeight="1" spans="1:29" x14ac:dyDescent="0.25">
      <c r="A743" s="8"/>
      <c r="B743" s="8"/>
      <c r="C743" s="8"/>
      <c r="D743" s="8"/>
      <c r="E743" s="8"/>
      <c r="F743" s="8"/>
      <c r="G743" s="8"/>
      <c r="H743" s="675"/>
      <c r="I743" s="675"/>
      <c r="J743" s="675"/>
      <c r="K743" s="675"/>
      <c r="L743" s="675"/>
      <c r="M743" s="675"/>
      <c r="N743" s="675"/>
      <c r="O743" s="675"/>
      <c r="P743" s="675"/>
      <c r="Q743" s="675"/>
      <c r="R743" s="675"/>
      <c r="S743" s="675"/>
      <c r="T743" s="675"/>
      <c r="U743" s="8"/>
      <c r="V743" s="8"/>
      <c r="W743" s="8"/>
      <c r="X743" s="8"/>
      <c r="Y743" s="8"/>
      <c r="Z743" s="8"/>
      <c r="AA743" s="8"/>
      <c r="AB743" s="8"/>
      <c r="AC743" s="8"/>
    </row>
    <row r="744" ht="12.75" customHeight="1" spans="1:29" x14ac:dyDescent="0.25">
      <c r="A744" s="8"/>
      <c r="B744" s="8"/>
      <c r="C744" s="8"/>
      <c r="D744" s="8"/>
      <c r="E744" s="8"/>
      <c r="F744" s="8"/>
      <c r="G744" s="8"/>
      <c r="H744" s="675"/>
      <c r="I744" s="675"/>
      <c r="J744" s="675"/>
      <c r="K744" s="675"/>
      <c r="L744" s="675"/>
      <c r="M744" s="675"/>
      <c r="N744" s="675"/>
      <c r="O744" s="675"/>
      <c r="P744" s="675"/>
      <c r="Q744" s="675"/>
      <c r="R744" s="675"/>
      <c r="S744" s="675"/>
      <c r="T744" s="675"/>
      <c r="U744" s="8"/>
      <c r="V744" s="8"/>
      <c r="W744" s="8"/>
      <c r="X744" s="8"/>
      <c r="Y744" s="8"/>
      <c r="Z744" s="8"/>
      <c r="AA744" s="8"/>
      <c r="AB744" s="8"/>
      <c r="AC744" s="8"/>
    </row>
    <row r="745" ht="12.75" customHeight="1" spans="1:29" x14ac:dyDescent="0.25">
      <c r="A745" s="8"/>
      <c r="B745" s="8"/>
      <c r="C745" s="8"/>
      <c r="D745" s="8"/>
      <c r="E745" s="8"/>
      <c r="F745" s="8"/>
      <c r="G745" s="8"/>
      <c r="H745" s="675"/>
      <c r="I745" s="675"/>
      <c r="J745" s="675"/>
      <c r="K745" s="675"/>
      <c r="L745" s="675"/>
      <c r="M745" s="675"/>
      <c r="N745" s="675"/>
      <c r="O745" s="675"/>
      <c r="P745" s="675"/>
      <c r="Q745" s="675"/>
      <c r="R745" s="675"/>
      <c r="S745" s="675"/>
      <c r="T745" s="675"/>
      <c r="U745" s="8"/>
      <c r="V745" s="8"/>
      <c r="W745" s="8"/>
      <c r="X745" s="8"/>
      <c r="Y745" s="8"/>
      <c r="Z745" s="8"/>
      <c r="AA745" s="8"/>
      <c r="AB745" s="8"/>
      <c r="AC745" s="8"/>
    </row>
    <row r="746" ht="12.75" customHeight="1" spans="1:29" x14ac:dyDescent="0.25">
      <c r="A746" s="8"/>
      <c r="B746" s="8"/>
      <c r="C746" s="8"/>
      <c r="D746" s="8"/>
      <c r="E746" s="8"/>
      <c r="F746" s="8"/>
      <c r="G746" s="8"/>
      <c r="H746" s="675"/>
      <c r="I746" s="675"/>
      <c r="J746" s="675"/>
      <c r="K746" s="675"/>
      <c r="L746" s="675"/>
      <c r="M746" s="675"/>
      <c r="N746" s="675"/>
      <c r="O746" s="675"/>
      <c r="P746" s="675"/>
      <c r="Q746" s="675"/>
      <c r="R746" s="675"/>
      <c r="S746" s="675"/>
      <c r="T746" s="675"/>
      <c r="U746" s="8"/>
      <c r="V746" s="8"/>
      <c r="W746" s="8"/>
      <c r="X746" s="8"/>
      <c r="Y746" s="8"/>
      <c r="Z746" s="8"/>
      <c r="AA746" s="8"/>
      <c r="AB746" s="8"/>
      <c r="AC746" s="8"/>
    </row>
    <row r="747" ht="12.75" customHeight="1" spans="1:29" x14ac:dyDescent="0.25">
      <c r="A747" s="8"/>
      <c r="B747" s="8"/>
      <c r="C747" s="8"/>
      <c r="D747" s="8"/>
      <c r="E747" s="8"/>
      <c r="F747" s="8"/>
      <c r="G747" s="8"/>
      <c r="H747" s="675"/>
      <c r="I747" s="675"/>
      <c r="J747" s="675"/>
      <c r="K747" s="675"/>
      <c r="L747" s="675"/>
      <c r="M747" s="675"/>
      <c r="N747" s="675"/>
      <c r="O747" s="675"/>
      <c r="P747" s="675"/>
      <c r="Q747" s="675"/>
      <c r="R747" s="675"/>
      <c r="S747" s="675"/>
      <c r="T747" s="675"/>
      <c r="U747" s="8"/>
      <c r="V747" s="8"/>
      <c r="W747" s="8"/>
      <c r="X747" s="8"/>
      <c r="Y747" s="8"/>
      <c r="Z747" s="8"/>
      <c r="AA747" s="8"/>
      <c r="AB747" s="8"/>
      <c r="AC747" s="8"/>
    </row>
    <row r="748" ht="12.75" customHeight="1" spans="1:29" x14ac:dyDescent="0.25">
      <c r="A748" s="8"/>
      <c r="B748" s="8"/>
      <c r="C748" s="8"/>
      <c r="D748" s="8"/>
      <c r="E748" s="8"/>
      <c r="F748" s="8"/>
      <c r="G748" s="8"/>
      <c r="H748" s="675"/>
      <c r="I748" s="675"/>
      <c r="J748" s="675"/>
      <c r="K748" s="675"/>
      <c r="L748" s="675"/>
      <c r="M748" s="675"/>
      <c r="N748" s="675"/>
      <c r="O748" s="675"/>
      <c r="P748" s="675"/>
      <c r="Q748" s="675"/>
      <c r="R748" s="675"/>
      <c r="S748" s="675"/>
      <c r="T748" s="675"/>
      <c r="U748" s="8"/>
      <c r="V748" s="8"/>
      <c r="W748" s="8"/>
      <c r="X748" s="8"/>
      <c r="Y748" s="8"/>
      <c r="Z748" s="8"/>
      <c r="AA748" s="8"/>
      <c r="AB748" s="8"/>
      <c r="AC748" s="8"/>
    </row>
    <row r="749" ht="12.75" customHeight="1" spans="1:29" x14ac:dyDescent="0.25">
      <c r="A749" s="8"/>
      <c r="B749" s="8"/>
      <c r="C749" s="8"/>
      <c r="D749" s="8"/>
      <c r="E749" s="8"/>
      <c r="F749" s="8"/>
      <c r="G749" s="8"/>
      <c r="H749" s="675"/>
      <c r="I749" s="675"/>
      <c r="J749" s="675"/>
      <c r="K749" s="675"/>
      <c r="L749" s="675"/>
      <c r="M749" s="675"/>
      <c r="N749" s="675"/>
      <c r="O749" s="675"/>
      <c r="P749" s="675"/>
      <c r="Q749" s="675"/>
      <c r="R749" s="675"/>
      <c r="S749" s="675"/>
      <c r="T749" s="675"/>
      <c r="U749" s="8"/>
      <c r="V749" s="8"/>
      <c r="W749" s="8"/>
      <c r="X749" s="8"/>
      <c r="Y749" s="8"/>
      <c r="Z749" s="8"/>
      <c r="AA749" s="8"/>
      <c r="AB749" s="8"/>
      <c r="AC749" s="8"/>
    </row>
    <row r="750" ht="12.75" customHeight="1" spans="1:29" x14ac:dyDescent="0.25">
      <c r="A750" s="8"/>
      <c r="B750" s="8"/>
      <c r="C750" s="8"/>
      <c r="D750" s="8"/>
      <c r="E750" s="8"/>
      <c r="F750" s="8"/>
      <c r="G750" s="8"/>
      <c r="H750" s="675"/>
      <c r="I750" s="675"/>
      <c r="J750" s="675"/>
      <c r="K750" s="675"/>
      <c r="L750" s="675"/>
      <c r="M750" s="675"/>
      <c r="N750" s="675"/>
      <c r="O750" s="675"/>
      <c r="P750" s="675"/>
      <c r="Q750" s="675"/>
      <c r="R750" s="675"/>
      <c r="S750" s="675"/>
      <c r="T750" s="675"/>
      <c r="U750" s="8"/>
      <c r="V750" s="8"/>
      <c r="W750" s="8"/>
      <c r="X750" s="8"/>
      <c r="Y750" s="8"/>
      <c r="Z750" s="8"/>
      <c r="AA750" s="8"/>
      <c r="AB750" s="8"/>
      <c r="AC750" s="8"/>
    </row>
    <row r="751" ht="12.75" customHeight="1" spans="1:29" x14ac:dyDescent="0.25">
      <c r="A751" s="8"/>
      <c r="B751" s="8"/>
      <c r="C751" s="8"/>
      <c r="D751" s="8"/>
      <c r="E751" s="8"/>
      <c r="F751" s="8"/>
      <c r="G751" s="8"/>
      <c r="H751" s="675"/>
      <c r="I751" s="675"/>
      <c r="J751" s="675"/>
      <c r="K751" s="675"/>
      <c r="L751" s="675"/>
      <c r="M751" s="675"/>
      <c r="N751" s="675"/>
      <c r="O751" s="675"/>
      <c r="P751" s="675"/>
      <c r="Q751" s="675"/>
      <c r="R751" s="675"/>
      <c r="S751" s="675"/>
      <c r="T751" s="675"/>
      <c r="U751" s="8"/>
      <c r="V751" s="8"/>
      <c r="W751" s="8"/>
      <c r="X751" s="8"/>
      <c r="Y751" s="8"/>
      <c r="Z751" s="8"/>
      <c r="AA751" s="8"/>
      <c r="AB751" s="8"/>
      <c r="AC751" s="8"/>
    </row>
    <row r="752" ht="12.75" customHeight="1" spans="1:29" x14ac:dyDescent="0.25">
      <c r="A752" s="8"/>
      <c r="B752" s="8"/>
      <c r="C752" s="8"/>
      <c r="D752" s="8"/>
      <c r="E752" s="8"/>
      <c r="F752" s="8"/>
      <c r="G752" s="8"/>
      <c r="H752" s="675"/>
      <c r="I752" s="675"/>
      <c r="J752" s="675"/>
      <c r="K752" s="675"/>
      <c r="L752" s="675"/>
      <c r="M752" s="675"/>
      <c r="N752" s="675"/>
      <c r="O752" s="675"/>
      <c r="P752" s="675"/>
      <c r="Q752" s="675"/>
      <c r="R752" s="675"/>
      <c r="S752" s="675"/>
      <c r="T752" s="675"/>
      <c r="U752" s="8"/>
      <c r="V752" s="8"/>
      <c r="W752" s="8"/>
      <c r="X752" s="8"/>
      <c r="Y752" s="8"/>
      <c r="Z752" s="8"/>
      <c r="AA752" s="8"/>
      <c r="AB752" s="8"/>
      <c r="AC752" s="8"/>
    </row>
    <row r="753" ht="12.75" customHeight="1" spans="1:29" x14ac:dyDescent="0.25">
      <c r="A753" s="8"/>
      <c r="B753" s="8"/>
      <c r="C753" s="8"/>
      <c r="D753" s="8"/>
      <c r="E753" s="8"/>
      <c r="F753" s="8"/>
      <c r="G753" s="8"/>
      <c r="H753" s="675"/>
      <c r="I753" s="675"/>
      <c r="J753" s="675"/>
      <c r="K753" s="675"/>
      <c r="L753" s="675"/>
      <c r="M753" s="675"/>
      <c r="N753" s="675"/>
      <c r="O753" s="675"/>
      <c r="P753" s="675"/>
      <c r="Q753" s="675"/>
      <c r="R753" s="675"/>
      <c r="S753" s="675"/>
      <c r="T753" s="675"/>
      <c r="U753" s="8"/>
      <c r="V753" s="8"/>
      <c r="W753" s="8"/>
      <c r="X753" s="8"/>
      <c r="Y753" s="8"/>
      <c r="Z753" s="8"/>
      <c r="AA753" s="8"/>
      <c r="AB753" s="8"/>
      <c r="AC753" s="8"/>
    </row>
    <row r="754" ht="12.75" customHeight="1" spans="1:29" x14ac:dyDescent="0.25">
      <c r="A754" s="8"/>
      <c r="B754" s="8"/>
      <c r="C754" s="8"/>
      <c r="D754" s="8"/>
      <c r="E754" s="8"/>
      <c r="F754" s="8"/>
      <c r="G754" s="8"/>
      <c r="H754" s="675"/>
      <c r="I754" s="675"/>
      <c r="J754" s="675"/>
      <c r="K754" s="675"/>
      <c r="L754" s="675"/>
      <c r="M754" s="675"/>
      <c r="N754" s="675"/>
      <c r="O754" s="675"/>
      <c r="P754" s="675"/>
      <c r="Q754" s="675"/>
      <c r="R754" s="675"/>
      <c r="S754" s="675"/>
      <c r="T754" s="675"/>
      <c r="U754" s="8"/>
      <c r="V754" s="8"/>
      <c r="W754" s="8"/>
      <c r="X754" s="8"/>
      <c r="Y754" s="8"/>
      <c r="Z754" s="8"/>
      <c r="AA754" s="8"/>
      <c r="AB754" s="8"/>
      <c r="AC754" s="8"/>
    </row>
    <row r="755" ht="12.75" customHeight="1" spans="1:29" x14ac:dyDescent="0.25">
      <c r="A755" s="8"/>
      <c r="B755" s="8"/>
      <c r="C755" s="8"/>
      <c r="D755" s="8"/>
      <c r="E755" s="8"/>
      <c r="F755" s="8"/>
      <c r="G755" s="8"/>
      <c r="H755" s="675"/>
      <c r="I755" s="675"/>
      <c r="J755" s="675"/>
      <c r="K755" s="675"/>
      <c r="L755" s="675"/>
      <c r="M755" s="675"/>
      <c r="N755" s="675"/>
      <c r="O755" s="675"/>
      <c r="P755" s="675"/>
      <c r="Q755" s="675"/>
      <c r="R755" s="675"/>
      <c r="S755" s="675"/>
      <c r="T755" s="675"/>
      <c r="U755" s="8"/>
      <c r="V755" s="8"/>
      <c r="W755" s="8"/>
      <c r="X755" s="8"/>
      <c r="Y755" s="8"/>
      <c r="Z755" s="8"/>
      <c r="AA755" s="8"/>
      <c r="AB755" s="8"/>
      <c r="AC755" s="8"/>
    </row>
    <row r="756" ht="12.75" customHeight="1" spans="1:29" x14ac:dyDescent="0.25">
      <c r="A756" s="8"/>
      <c r="B756" s="8"/>
      <c r="C756" s="8"/>
      <c r="D756" s="8"/>
      <c r="E756" s="8"/>
      <c r="F756" s="8"/>
      <c r="G756" s="8"/>
      <c r="H756" s="675"/>
      <c r="I756" s="675"/>
      <c r="J756" s="675"/>
      <c r="K756" s="675"/>
      <c r="L756" s="675"/>
      <c r="M756" s="675"/>
      <c r="N756" s="675"/>
      <c r="O756" s="675"/>
      <c r="P756" s="675"/>
      <c r="Q756" s="675"/>
      <c r="R756" s="675"/>
      <c r="S756" s="675"/>
      <c r="T756" s="675"/>
      <c r="U756" s="8"/>
      <c r="V756" s="8"/>
      <c r="W756" s="8"/>
      <c r="X756" s="8"/>
      <c r="Y756" s="8"/>
      <c r="Z756" s="8"/>
      <c r="AA756" s="8"/>
      <c r="AB756" s="8"/>
      <c r="AC756" s="8"/>
    </row>
    <row r="757" ht="12.75" customHeight="1" spans="1:29" x14ac:dyDescent="0.25">
      <c r="A757" s="8"/>
      <c r="B757" s="8"/>
      <c r="C757" s="8"/>
      <c r="D757" s="8"/>
      <c r="E757" s="8"/>
      <c r="F757" s="8"/>
      <c r="G757" s="8"/>
      <c r="H757" s="675"/>
      <c r="I757" s="675"/>
      <c r="J757" s="675"/>
      <c r="K757" s="675"/>
      <c r="L757" s="675"/>
      <c r="M757" s="675"/>
      <c r="N757" s="675"/>
      <c r="O757" s="675"/>
      <c r="P757" s="675"/>
      <c r="Q757" s="675"/>
      <c r="R757" s="675"/>
      <c r="S757" s="675"/>
      <c r="T757" s="675"/>
      <c r="U757" s="8"/>
      <c r="V757" s="8"/>
      <c r="W757" s="8"/>
      <c r="X757" s="8"/>
      <c r="Y757" s="8"/>
      <c r="Z757" s="8"/>
      <c r="AA757" s="8"/>
      <c r="AB757" s="8"/>
      <c r="AC757" s="8"/>
    </row>
    <row r="758" ht="12.75" customHeight="1" spans="1:29" x14ac:dyDescent="0.25">
      <c r="A758" s="8"/>
      <c r="B758" s="8"/>
      <c r="C758" s="8"/>
      <c r="D758" s="8"/>
      <c r="E758" s="8"/>
      <c r="F758" s="8"/>
      <c r="G758" s="8"/>
      <c r="H758" s="675"/>
      <c r="I758" s="675"/>
      <c r="J758" s="675"/>
      <c r="K758" s="675"/>
      <c r="L758" s="675"/>
      <c r="M758" s="675"/>
      <c r="N758" s="675"/>
      <c r="O758" s="675"/>
      <c r="P758" s="675"/>
      <c r="Q758" s="675"/>
      <c r="R758" s="675"/>
      <c r="S758" s="675"/>
      <c r="T758" s="675"/>
      <c r="U758" s="8"/>
      <c r="V758" s="8"/>
      <c r="W758" s="8"/>
      <c r="X758" s="8"/>
      <c r="Y758" s="8"/>
      <c r="Z758" s="8"/>
      <c r="AA758" s="8"/>
      <c r="AB758" s="8"/>
      <c r="AC758" s="8"/>
    </row>
    <row r="759" ht="12.75" customHeight="1" spans="1:29" x14ac:dyDescent="0.25">
      <c r="A759" s="8"/>
      <c r="B759" s="8"/>
      <c r="C759" s="8"/>
      <c r="D759" s="8"/>
      <c r="E759" s="8"/>
      <c r="F759" s="8"/>
      <c r="G759" s="8"/>
      <c r="H759" s="675"/>
      <c r="I759" s="675"/>
      <c r="J759" s="675"/>
      <c r="K759" s="675"/>
      <c r="L759" s="675"/>
      <c r="M759" s="675"/>
      <c r="N759" s="675"/>
      <c r="O759" s="675"/>
      <c r="P759" s="675"/>
      <c r="Q759" s="675"/>
      <c r="R759" s="675"/>
      <c r="S759" s="675"/>
      <c r="T759" s="675"/>
      <c r="U759" s="8"/>
      <c r="V759" s="8"/>
      <c r="W759" s="8"/>
      <c r="X759" s="8"/>
      <c r="Y759" s="8"/>
      <c r="Z759" s="8"/>
      <c r="AA759" s="8"/>
      <c r="AB759" s="8"/>
      <c r="AC759" s="8"/>
    </row>
    <row r="760" ht="12.75" customHeight="1" spans="1:29" x14ac:dyDescent="0.25">
      <c r="A760" s="8"/>
      <c r="B760" s="8"/>
      <c r="C760" s="8"/>
      <c r="D760" s="8"/>
      <c r="E760" s="8"/>
      <c r="F760" s="8"/>
      <c r="G760" s="8"/>
      <c r="H760" s="675"/>
      <c r="I760" s="675"/>
      <c r="J760" s="675"/>
      <c r="K760" s="675"/>
      <c r="L760" s="675"/>
      <c r="M760" s="675"/>
      <c r="N760" s="675"/>
      <c r="O760" s="675"/>
      <c r="P760" s="675"/>
      <c r="Q760" s="675"/>
      <c r="R760" s="675"/>
      <c r="S760" s="675"/>
      <c r="T760" s="675"/>
      <c r="U760" s="8"/>
      <c r="V760" s="8"/>
      <c r="W760" s="8"/>
      <c r="X760" s="8"/>
      <c r="Y760" s="8"/>
      <c r="Z760" s="8"/>
      <c r="AA760" s="8"/>
      <c r="AB760" s="8"/>
      <c r="AC760" s="8"/>
    </row>
    <row r="761" ht="12.75" customHeight="1" spans="1:29" x14ac:dyDescent="0.25">
      <c r="A761" s="8"/>
      <c r="B761" s="8"/>
      <c r="C761" s="8"/>
      <c r="D761" s="8"/>
      <c r="E761" s="8"/>
      <c r="F761" s="8"/>
      <c r="G761" s="8"/>
      <c r="H761" s="675"/>
      <c r="I761" s="675"/>
      <c r="J761" s="675"/>
      <c r="K761" s="675"/>
      <c r="L761" s="675"/>
      <c r="M761" s="675"/>
      <c r="N761" s="675"/>
      <c r="O761" s="675"/>
      <c r="P761" s="675"/>
      <c r="Q761" s="675"/>
      <c r="R761" s="675"/>
      <c r="S761" s="675"/>
      <c r="T761" s="675"/>
      <c r="U761" s="8"/>
      <c r="V761" s="8"/>
      <c r="W761" s="8"/>
      <c r="X761" s="8"/>
      <c r="Y761" s="8"/>
      <c r="Z761" s="8"/>
      <c r="AA761" s="8"/>
      <c r="AB761" s="8"/>
      <c r="AC761" s="8"/>
    </row>
    <row r="762" ht="12.75" customHeight="1" spans="1:29" x14ac:dyDescent="0.25">
      <c r="A762" s="8"/>
      <c r="B762" s="8"/>
      <c r="C762" s="8"/>
      <c r="D762" s="8"/>
      <c r="E762" s="8"/>
      <c r="F762" s="8"/>
      <c r="G762" s="8"/>
      <c r="H762" s="675"/>
      <c r="I762" s="675"/>
      <c r="J762" s="675"/>
      <c r="K762" s="675"/>
      <c r="L762" s="675"/>
      <c r="M762" s="675"/>
      <c r="N762" s="675"/>
      <c r="O762" s="675"/>
      <c r="P762" s="675"/>
      <c r="Q762" s="675"/>
      <c r="R762" s="675"/>
      <c r="S762" s="675"/>
      <c r="T762" s="675"/>
      <c r="U762" s="8"/>
      <c r="V762" s="8"/>
      <c r="W762" s="8"/>
      <c r="X762" s="8"/>
      <c r="Y762" s="8"/>
      <c r="Z762" s="8"/>
      <c r="AA762" s="8"/>
      <c r="AB762" s="8"/>
      <c r="AC762" s="8"/>
    </row>
    <row r="763" ht="12.75" customHeight="1" spans="1:29" x14ac:dyDescent="0.25">
      <c r="A763" s="8"/>
      <c r="B763" s="8"/>
      <c r="C763" s="8"/>
      <c r="D763" s="8"/>
      <c r="E763" s="8"/>
      <c r="F763" s="8"/>
      <c r="G763" s="8"/>
      <c r="H763" s="675"/>
      <c r="I763" s="675"/>
      <c r="J763" s="675"/>
      <c r="K763" s="675"/>
      <c r="L763" s="675"/>
      <c r="M763" s="675"/>
      <c r="N763" s="675"/>
      <c r="O763" s="675"/>
      <c r="P763" s="675"/>
      <c r="Q763" s="675"/>
      <c r="R763" s="675"/>
      <c r="S763" s="675"/>
      <c r="T763" s="675"/>
      <c r="U763" s="8"/>
      <c r="V763" s="8"/>
      <c r="W763" s="8"/>
      <c r="X763" s="8"/>
      <c r="Y763" s="8"/>
      <c r="Z763" s="8"/>
      <c r="AA763" s="8"/>
      <c r="AB763" s="8"/>
      <c r="AC763" s="8"/>
    </row>
    <row r="764" ht="12.75" customHeight="1" spans="1:29" x14ac:dyDescent="0.25">
      <c r="A764" s="8"/>
      <c r="B764" s="8"/>
      <c r="C764" s="8"/>
      <c r="D764" s="8"/>
      <c r="E764" s="8"/>
      <c r="F764" s="8"/>
      <c r="G764" s="8"/>
      <c r="H764" s="675"/>
      <c r="I764" s="675"/>
      <c r="J764" s="675"/>
      <c r="K764" s="675"/>
      <c r="L764" s="675"/>
      <c r="M764" s="675"/>
      <c r="N764" s="675"/>
      <c r="O764" s="675"/>
      <c r="P764" s="675"/>
      <c r="Q764" s="675"/>
      <c r="R764" s="675"/>
      <c r="S764" s="675"/>
      <c r="T764" s="675"/>
      <c r="U764" s="8"/>
      <c r="V764" s="8"/>
      <c r="W764" s="8"/>
      <c r="X764" s="8"/>
      <c r="Y764" s="8"/>
      <c r="Z764" s="8"/>
      <c r="AA764" s="8"/>
      <c r="AB764" s="8"/>
      <c r="AC764" s="8"/>
    </row>
    <row r="765" ht="12.75" customHeight="1" spans="1:29" x14ac:dyDescent="0.25">
      <c r="A765" s="8"/>
      <c r="B765" s="8"/>
      <c r="C765" s="8"/>
      <c r="D765" s="8"/>
      <c r="E765" s="8"/>
      <c r="F765" s="8"/>
      <c r="G765" s="8"/>
      <c r="H765" s="675"/>
      <c r="I765" s="675"/>
      <c r="J765" s="675"/>
      <c r="K765" s="675"/>
      <c r="L765" s="675"/>
      <c r="M765" s="675"/>
      <c r="N765" s="675"/>
      <c r="O765" s="675"/>
      <c r="P765" s="675"/>
      <c r="Q765" s="675"/>
      <c r="R765" s="675"/>
      <c r="S765" s="675"/>
      <c r="T765" s="675"/>
      <c r="U765" s="8"/>
      <c r="V765" s="8"/>
      <c r="W765" s="8"/>
      <c r="X765" s="8"/>
      <c r="Y765" s="8"/>
      <c r="Z765" s="8"/>
      <c r="AA765" s="8"/>
      <c r="AB765" s="8"/>
      <c r="AC765" s="8"/>
    </row>
    <row r="766" ht="12.75" customHeight="1" spans="1:29" x14ac:dyDescent="0.25">
      <c r="A766" s="8"/>
      <c r="B766" s="8"/>
      <c r="C766" s="8"/>
      <c r="D766" s="8"/>
      <c r="E766" s="8"/>
      <c r="F766" s="8"/>
      <c r="G766" s="8"/>
      <c r="H766" s="675"/>
      <c r="I766" s="675"/>
      <c r="J766" s="675"/>
      <c r="K766" s="675"/>
      <c r="L766" s="675"/>
      <c r="M766" s="675"/>
      <c r="N766" s="675"/>
      <c r="O766" s="675"/>
      <c r="P766" s="675"/>
      <c r="Q766" s="675"/>
      <c r="R766" s="675"/>
      <c r="S766" s="675"/>
      <c r="T766" s="675"/>
      <c r="U766" s="8"/>
      <c r="V766" s="8"/>
      <c r="W766" s="8"/>
      <c r="X766" s="8"/>
      <c r="Y766" s="8"/>
      <c r="Z766" s="8"/>
      <c r="AA766" s="8"/>
      <c r="AB766" s="8"/>
      <c r="AC766" s="8"/>
    </row>
    <row r="767" ht="12.75" customHeight="1" spans="1:29" x14ac:dyDescent="0.25">
      <c r="A767" s="8"/>
      <c r="B767" s="8"/>
      <c r="C767" s="8"/>
      <c r="D767" s="8"/>
      <c r="E767" s="8"/>
      <c r="F767" s="8"/>
      <c r="G767" s="8"/>
      <c r="H767" s="675"/>
      <c r="I767" s="675"/>
      <c r="J767" s="675"/>
      <c r="K767" s="675"/>
      <c r="L767" s="675"/>
      <c r="M767" s="675"/>
      <c r="N767" s="675"/>
      <c r="O767" s="675"/>
      <c r="P767" s="675"/>
      <c r="Q767" s="675"/>
      <c r="R767" s="675"/>
      <c r="S767" s="675"/>
      <c r="T767" s="675"/>
      <c r="U767" s="8"/>
      <c r="V767" s="8"/>
      <c r="W767" s="8"/>
      <c r="X767" s="8"/>
      <c r="Y767" s="8"/>
      <c r="Z767" s="8"/>
      <c r="AA767" s="8"/>
      <c r="AB767" s="8"/>
      <c r="AC767" s="8"/>
    </row>
    <row r="768" ht="12.75" customHeight="1" spans="1:29" x14ac:dyDescent="0.25">
      <c r="A768" s="8"/>
      <c r="B768" s="8"/>
      <c r="C768" s="8"/>
      <c r="D768" s="8"/>
      <c r="E768" s="8"/>
      <c r="F768" s="8"/>
      <c r="G768" s="8"/>
      <c r="H768" s="675"/>
      <c r="I768" s="675"/>
      <c r="J768" s="675"/>
      <c r="K768" s="675"/>
      <c r="L768" s="675"/>
      <c r="M768" s="675"/>
      <c r="N768" s="675"/>
      <c r="O768" s="675"/>
      <c r="P768" s="675"/>
      <c r="Q768" s="675"/>
      <c r="R768" s="675"/>
      <c r="S768" s="675"/>
      <c r="T768" s="675"/>
      <c r="U768" s="8"/>
      <c r="V768" s="8"/>
      <c r="W768" s="8"/>
      <c r="X768" s="8"/>
      <c r="Y768" s="8"/>
      <c r="Z768" s="8"/>
      <c r="AA768" s="8"/>
      <c r="AB768" s="8"/>
      <c r="AC768" s="8"/>
    </row>
    <row r="769" ht="12.75" customHeight="1" spans="1:29" x14ac:dyDescent="0.25">
      <c r="A769" s="8"/>
      <c r="B769" s="8"/>
      <c r="C769" s="8"/>
      <c r="D769" s="8"/>
      <c r="E769" s="8"/>
      <c r="F769" s="8"/>
      <c r="G769" s="8"/>
      <c r="H769" s="675"/>
      <c r="I769" s="675"/>
      <c r="J769" s="675"/>
      <c r="K769" s="675"/>
      <c r="L769" s="675"/>
      <c r="M769" s="675"/>
      <c r="N769" s="675"/>
      <c r="O769" s="675"/>
      <c r="P769" s="675"/>
      <c r="Q769" s="675"/>
      <c r="R769" s="675"/>
      <c r="S769" s="675"/>
      <c r="T769" s="675"/>
      <c r="U769" s="8"/>
      <c r="V769" s="8"/>
      <c r="W769" s="8"/>
      <c r="X769" s="8"/>
      <c r="Y769" s="8"/>
      <c r="Z769" s="8"/>
      <c r="AA769" s="8"/>
      <c r="AB769" s="8"/>
      <c r="AC769" s="8"/>
    </row>
    <row r="770" ht="12.75" customHeight="1" spans="1:29" x14ac:dyDescent="0.25">
      <c r="A770" s="8"/>
      <c r="B770" s="8"/>
      <c r="C770" s="8"/>
      <c r="D770" s="8"/>
      <c r="E770" s="8"/>
      <c r="F770" s="8"/>
      <c r="G770" s="8"/>
      <c r="H770" s="675"/>
      <c r="I770" s="675"/>
      <c r="J770" s="675"/>
      <c r="K770" s="675"/>
      <c r="L770" s="675"/>
      <c r="M770" s="675"/>
      <c r="N770" s="675"/>
      <c r="O770" s="675"/>
      <c r="P770" s="675"/>
      <c r="Q770" s="675"/>
      <c r="R770" s="675"/>
      <c r="S770" s="675"/>
      <c r="T770" s="675"/>
      <c r="U770" s="8"/>
      <c r="V770" s="8"/>
      <c r="W770" s="8"/>
      <c r="X770" s="8"/>
      <c r="Y770" s="8"/>
      <c r="Z770" s="8"/>
      <c r="AA770" s="8"/>
      <c r="AB770" s="8"/>
      <c r="AC770" s="8"/>
    </row>
    <row r="771" ht="12.75" customHeight="1" spans="1:29" x14ac:dyDescent="0.25">
      <c r="A771" s="8"/>
      <c r="B771" s="8"/>
      <c r="C771" s="8"/>
      <c r="D771" s="8"/>
      <c r="E771" s="8"/>
      <c r="F771" s="8"/>
      <c r="G771" s="8"/>
      <c r="H771" s="675"/>
      <c r="I771" s="675"/>
      <c r="J771" s="675"/>
      <c r="K771" s="675"/>
      <c r="L771" s="675"/>
      <c r="M771" s="675"/>
      <c r="N771" s="675"/>
      <c r="O771" s="675"/>
      <c r="P771" s="675"/>
      <c r="Q771" s="675"/>
      <c r="R771" s="675"/>
      <c r="S771" s="675"/>
      <c r="T771" s="675"/>
      <c r="U771" s="8"/>
      <c r="V771" s="8"/>
      <c r="W771" s="8"/>
      <c r="X771" s="8"/>
      <c r="Y771" s="8"/>
      <c r="Z771" s="8"/>
      <c r="AA771" s="8"/>
      <c r="AB771" s="8"/>
      <c r="AC771" s="8"/>
    </row>
    <row r="772" ht="12.75" customHeight="1" spans="1:29" x14ac:dyDescent="0.25">
      <c r="A772" s="8"/>
      <c r="B772" s="8"/>
      <c r="C772" s="8"/>
      <c r="D772" s="8"/>
      <c r="E772" s="8"/>
      <c r="F772" s="8"/>
      <c r="G772" s="8"/>
      <c r="H772" s="675"/>
      <c r="I772" s="675"/>
      <c r="J772" s="675"/>
      <c r="K772" s="675"/>
      <c r="L772" s="675"/>
      <c r="M772" s="675"/>
      <c r="N772" s="675"/>
      <c r="O772" s="675"/>
      <c r="P772" s="675"/>
      <c r="Q772" s="675"/>
      <c r="R772" s="675"/>
      <c r="S772" s="675"/>
      <c r="T772" s="675"/>
      <c r="U772" s="8"/>
      <c r="V772" s="8"/>
      <c r="W772" s="8"/>
      <c r="X772" s="8"/>
      <c r="Y772" s="8"/>
      <c r="Z772" s="8"/>
      <c r="AA772" s="8"/>
      <c r="AB772" s="8"/>
      <c r="AC772" s="8"/>
    </row>
    <row r="773" ht="12.75" customHeight="1" spans="1:29" x14ac:dyDescent="0.25">
      <c r="A773" s="8"/>
      <c r="B773" s="8"/>
      <c r="C773" s="8"/>
      <c r="D773" s="8"/>
      <c r="E773" s="8"/>
      <c r="F773" s="8"/>
      <c r="G773" s="8"/>
      <c r="H773" s="675"/>
      <c r="I773" s="675"/>
      <c r="J773" s="675"/>
      <c r="K773" s="675"/>
      <c r="L773" s="675"/>
      <c r="M773" s="675"/>
      <c r="N773" s="675"/>
      <c r="O773" s="675"/>
      <c r="P773" s="675"/>
      <c r="Q773" s="675"/>
      <c r="R773" s="675"/>
      <c r="S773" s="675"/>
      <c r="T773" s="675"/>
      <c r="U773" s="8"/>
      <c r="V773" s="8"/>
      <c r="W773" s="8"/>
      <c r="X773" s="8"/>
      <c r="Y773" s="8"/>
      <c r="Z773" s="8"/>
      <c r="AA773" s="8"/>
      <c r="AB773" s="8"/>
      <c r="AC773" s="8"/>
    </row>
    <row r="774" ht="12.75" customHeight="1" spans="1:29" x14ac:dyDescent="0.25">
      <c r="A774" s="8"/>
      <c r="B774" s="8"/>
      <c r="C774" s="8"/>
      <c r="D774" s="8"/>
      <c r="E774" s="8"/>
      <c r="F774" s="8"/>
      <c r="G774" s="8"/>
      <c r="H774" s="675"/>
      <c r="I774" s="675"/>
      <c r="J774" s="675"/>
      <c r="K774" s="675"/>
      <c r="L774" s="675"/>
      <c r="M774" s="675"/>
      <c r="N774" s="675"/>
      <c r="O774" s="675"/>
      <c r="P774" s="675"/>
      <c r="Q774" s="675"/>
      <c r="R774" s="675"/>
      <c r="S774" s="675"/>
      <c r="T774" s="675"/>
      <c r="U774" s="8"/>
      <c r="V774" s="8"/>
      <c r="W774" s="8"/>
      <c r="X774" s="8"/>
      <c r="Y774" s="8"/>
      <c r="Z774" s="8"/>
      <c r="AA774" s="8"/>
      <c r="AB774" s="8"/>
      <c r="AC774" s="8"/>
    </row>
    <row r="775" ht="12.75" customHeight="1" spans="1:29" x14ac:dyDescent="0.25">
      <c r="A775" s="8"/>
      <c r="B775" s="8"/>
      <c r="C775" s="8"/>
      <c r="D775" s="8"/>
      <c r="E775" s="8"/>
      <c r="F775" s="8"/>
      <c r="G775" s="8"/>
      <c r="H775" s="675"/>
      <c r="I775" s="675"/>
      <c r="J775" s="675"/>
      <c r="K775" s="675"/>
      <c r="L775" s="675"/>
      <c r="M775" s="675"/>
      <c r="N775" s="675"/>
      <c r="O775" s="675"/>
      <c r="P775" s="675"/>
      <c r="Q775" s="675"/>
      <c r="R775" s="675"/>
      <c r="S775" s="675"/>
      <c r="T775" s="675"/>
      <c r="U775" s="8"/>
      <c r="V775" s="8"/>
      <c r="W775" s="8"/>
      <c r="X775" s="8"/>
      <c r="Y775" s="8"/>
      <c r="Z775" s="8"/>
      <c r="AA775" s="8"/>
      <c r="AB775" s="8"/>
      <c r="AC775" s="8"/>
    </row>
    <row r="776" ht="12.75" customHeight="1" spans="1:29" x14ac:dyDescent="0.25">
      <c r="A776" s="8"/>
      <c r="B776" s="8"/>
      <c r="C776" s="8"/>
      <c r="D776" s="8"/>
      <c r="E776" s="8"/>
      <c r="F776" s="8"/>
      <c r="G776" s="8"/>
      <c r="H776" s="675"/>
      <c r="I776" s="675"/>
      <c r="J776" s="675"/>
      <c r="K776" s="675"/>
      <c r="L776" s="675"/>
      <c r="M776" s="675"/>
      <c r="N776" s="675"/>
      <c r="O776" s="675"/>
      <c r="P776" s="675"/>
      <c r="Q776" s="675"/>
      <c r="R776" s="675"/>
      <c r="S776" s="675"/>
      <c r="T776" s="675"/>
      <c r="U776" s="8"/>
      <c r="V776" s="8"/>
      <c r="W776" s="8"/>
      <c r="X776" s="8"/>
      <c r="Y776" s="8"/>
      <c r="Z776" s="8"/>
      <c r="AA776" s="8"/>
      <c r="AB776" s="8"/>
      <c r="AC776" s="8"/>
    </row>
    <row r="777" ht="12.75" customHeight="1" spans="1:29" x14ac:dyDescent="0.25">
      <c r="A777" s="8"/>
      <c r="B777" s="8"/>
      <c r="C777" s="8"/>
      <c r="D777" s="8"/>
      <c r="E777" s="8"/>
      <c r="F777" s="8"/>
      <c r="G777" s="8"/>
      <c r="H777" s="675"/>
      <c r="I777" s="675"/>
      <c r="J777" s="675"/>
      <c r="K777" s="675"/>
      <c r="L777" s="675"/>
      <c r="M777" s="675"/>
      <c r="N777" s="675"/>
      <c r="O777" s="675"/>
      <c r="P777" s="675"/>
      <c r="Q777" s="675"/>
      <c r="R777" s="675"/>
      <c r="S777" s="675"/>
      <c r="T777" s="675"/>
      <c r="U777" s="8"/>
      <c r="V777" s="8"/>
      <c r="W777" s="8"/>
      <c r="X777" s="8"/>
      <c r="Y777" s="8"/>
      <c r="Z777" s="8"/>
      <c r="AA777" s="8"/>
      <c r="AB777" s="8"/>
      <c r="AC777" s="8"/>
    </row>
    <row r="778" ht="12.75" customHeight="1" spans="1:29" x14ac:dyDescent="0.25">
      <c r="A778" s="8"/>
      <c r="B778" s="8"/>
      <c r="C778" s="8"/>
      <c r="D778" s="8"/>
      <c r="E778" s="8"/>
      <c r="F778" s="8"/>
      <c r="G778" s="8"/>
      <c r="H778" s="675"/>
      <c r="I778" s="675"/>
      <c r="J778" s="675"/>
      <c r="K778" s="675"/>
      <c r="L778" s="675"/>
      <c r="M778" s="675"/>
      <c r="N778" s="675"/>
      <c r="O778" s="675"/>
      <c r="P778" s="675"/>
      <c r="Q778" s="675"/>
      <c r="R778" s="675"/>
      <c r="S778" s="675"/>
      <c r="T778" s="675"/>
      <c r="U778" s="8"/>
      <c r="V778" s="8"/>
      <c r="W778" s="8"/>
      <c r="X778" s="8"/>
      <c r="Y778" s="8"/>
      <c r="Z778" s="8"/>
      <c r="AA778" s="8"/>
      <c r="AB778" s="8"/>
      <c r="AC778" s="8"/>
    </row>
    <row r="779" ht="12.75" customHeight="1" spans="1:29" x14ac:dyDescent="0.25">
      <c r="A779" s="8"/>
      <c r="B779" s="8"/>
      <c r="C779" s="8"/>
      <c r="D779" s="8"/>
      <c r="E779" s="8"/>
      <c r="F779" s="8"/>
      <c r="G779" s="8"/>
      <c r="H779" s="675"/>
      <c r="I779" s="675"/>
      <c r="J779" s="675"/>
      <c r="K779" s="675"/>
      <c r="L779" s="675"/>
      <c r="M779" s="675"/>
      <c r="N779" s="675"/>
      <c r="O779" s="675"/>
      <c r="P779" s="675"/>
      <c r="Q779" s="675"/>
      <c r="R779" s="675"/>
      <c r="S779" s="675"/>
      <c r="T779" s="675"/>
      <c r="U779" s="8"/>
      <c r="V779" s="8"/>
      <c r="W779" s="8"/>
      <c r="X779" s="8"/>
      <c r="Y779" s="8"/>
      <c r="Z779" s="8"/>
      <c r="AA779" s="8"/>
      <c r="AB779" s="8"/>
      <c r="AC779" s="8"/>
    </row>
    <row r="780" ht="12.75" customHeight="1" spans="1:29" x14ac:dyDescent="0.25">
      <c r="A780" s="8"/>
      <c r="B780" s="8"/>
      <c r="C780" s="8"/>
      <c r="D780" s="8"/>
      <c r="E780" s="8"/>
      <c r="F780" s="8"/>
      <c r="G780" s="8"/>
      <c r="H780" s="675"/>
      <c r="I780" s="675"/>
      <c r="J780" s="675"/>
      <c r="K780" s="675"/>
      <c r="L780" s="675"/>
      <c r="M780" s="675"/>
      <c r="N780" s="675"/>
      <c r="O780" s="675"/>
      <c r="P780" s="675"/>
      <c r="Q780" s="675"/>
      <c r="R780" s="675"/>
      <c r="S780" s="675"/>
      <c r="T780" s="675"/>
      <c r="U780" s="8"/>
      <c r="V780" s="8"/>
      <c r="W780" s="8"/>
      <c r="X780" s="8"/>
      <c r="Y780" s="8"/>
      <c r="Z780" s="8"/>
      <c r="AA780" s="8"/>
      <c r="AB780" s="8"/>
      <c r="AC780" s="8"/>
    </row>
    <row r="781" ht="12.75" customHeight="1" spans="1:29" x14ac:dyDescent="0.25">
      <c r="A781" s="8"/>
      <c r="B781" s="8"/>
      <c r="C781" s="8"/>
      <c r="D781" s="8"/>
      <c r="E781" s="8"/>
      <c r="F781" s="8"/>
      <c r="G781" s="8"/>
      <c r="H781" s="675"/>
      <c r="I781" s="675"/>
      <c r="J781" s="675"/>
      <c r="K781" s="675"/>
      <c r="L781" s="675"/>
      <c r="M781" s="675"/>
      <c r="N781" s="675"/>
      <c r="O781" s="675"/>
      <c r="P781" s="675"/>
      <c r="Q781" s="675"/>
      <c r="R781" s="675"/>
      <c r="S781" s="675"/>
      <c r="T781" s="675"/>
      <c r="U781" s="8"/>
      <c r="V781" s="8"/>
      <c r="W781" s="8"/>
      <c r="X781" s="8"/>
      <c r="Y781" s="8"/>
      <c r="Z781" s="8"/>
      <c r="AA781" s="8"/>
      <c r="AB781" s="8"/>
      <c r="AC781" s="8"/>
    </row>
    <row r="782" ht="12.75" customHeight="1" spans="1:29" x14ac:dyDescent="0.25">
      <c r="A782" s="8"/>
      <c r="B782" s="8"/>
      <c r="C782" s="8"/>
      <c r="D782" s="8"/>
      <c r="E782" s="8"/>
      <c r="F782" s="8"/>
      <c r="G782" s="8"/>
      <c r="H782" s="675"/>
      <c r="I782" s="675"/>
      <c r="J782" s="675"/>
      <c r="K782" s="675"/>
      <c r="L782" s="675"/>
      <c r="M782" s="675"/>
      <c r="N782" s="675"/>
      <c r="O782" s="675"/>
      <c r="P782" s="675"/>
      <c r="Q782" s="675"/>
      <c r="R782" s="675"/>
      <c r="S782" s="675"/>
      <c r="T782" s="675"/>
      <c r="U782" s="8"/>
      <c r="V782" s="8"/>
      <c r="W782" s="8"/>
      <c r="X782" s="8"/>
      <c r="Y782" s="8"/>
      <c r="Z782" s="8"/>
      <c r="AA782" s="8"/>
      <c r="AB782" s="8"/>
      <c r="AC782" s="8"/>
    </row>
    <row r="783" ht="12.75" customHeight="1" spans="1:29" x14ac:dyDescent="0.25">
      <c r="A783" s="8"/>
      <c r="B783" s="8"/>
      <c r="C783" s="8"/>
      <c r="D783" s="8"/>
      <c r="E783" s="8"/>
      <c r="F783" s="8"/>
      <c r="G783" s="8"/>
      <c r="H783" s="675"/>
      <c r="I783" s="675"/>
      <c r="J783" s="675"/>
      <c r="K783" s="675"/>
      <c r="L783" s="675"/>
      <c r="M783" s="675"/>
      <c r="N783" s="675"/>
      <c r="O783" s="675"/>
      <c r="P783" s="675"/>
      <c r="Q783" s="675"/>
      <c r="R783" s="675"/>
      <c r="S783" s="675"/>
      <c r="T783" s="675"/>
      <c r="U783" s="8"/>
      <c r="V783" s="8"/>
      <c r="W783" s="8"/>
      <c r="X783" s="8"/>
      <c r="Y783" s="8"/>
      <c r="Z783" s="8"/>
      <c r="AA783" s="8"/>
      <c r="AB783" s="8"/>
      <c r="AC783" s="8"/>
    </row>
    <row r="784" ht="12.75" customHeight="1" spans="1:29" x14ac:dyDescent="0.25">
      <c r="A784" s="8"/>
      <c r="B784" s="8"/>
      <c r="C784" s="8"/>
      <c r="D784" s="8"/>
      <c r="E784" s="8"/>
      <c r="F784" s="8"/>
      <c r="G784" s="8"/>
      <c r="H784" s="675"/>
      <c r="I784" s="675"/>
      <c r="J784" s="675"/>
      <c r="K784" s="675"/>
      <c r="L784" s="675"/>
      <c r="M784" s="675"/>
      <c r="N784" s="675"/>
      <c r="O784" s="675"/>
      <c r="P784" s="675"/>
      <c r="Q784" s="675"/>
      <c r="R784" s="675"/>
      <c r="S784" s="675"/>
      <c r="T784" s="675"/>
      <c r="U784" s="8"/>
      <c r="V784" s="8"/>
      <c r="W784" s="8"/>
      <c r="X784" s="8"/>
      <c r="Y784" s="8"/>
      <c r="Z784" s="8"/>
      <c r="AA784" s="8"/>
      <c r="AB784" s="8"/>
      <c r="AC784" s="8"/>
    </row>
    <row r="785" ht="12.75" customHeight="1" spans="1:29" x14ac:dyDescent="0.25">
      <c r="A785" s="8"/>
      <c r="B785" s="8"/>
      <c r="C785" s="8"/>
      <c r="D785" s="8"/>
      <c r="E785" s="8"/>
      <c r="F785" s="8"/>
      <c r="G785" s="8"/>
      <c r="H785" s="675"/>
      <c r="I785" s="675"/>
      <c r="J785" s="675"/>
      <c r="K785" s="675"/>
      <c r="L785" s="675"/>
      <c r="M785" s="675"/>
      <c r="N785" s="675"/>
      <c r="O785" s="675"/>
      <c r="P785" s="675"/>
      <c r="Q785" s="675"/>
      <c r="R785" s="675"/>
      <c r="S785" s="675"/>
      <c r="T785" s="675"/>
      <c r="U785" s="8"/>
      <c r="V785" s="8"/>
      <c r="W785" s="8"/>
      <c r="X785" s="8"/>
      <c r="Y785" s="8"/>
      <c r="Z785" s="8"/>
      <c r="AA785" s="8"/>
      <c r="AB785" s="8"/>
      <c r="AC785" s="8"/>
    </row>
    <row r="786" ht="12.75" customHeight="1" spans="1:29" x14ac:dyDescent="0.25">
      <c r="A786" s="8"/>
      <c r="B786" s="8"/>
      <c r="C786" s="8"/>
      <c r="D786" s="8"/>
      <c r="E786" s="8"/>
      <c r="F786" s="8"/>
      <c r="G786" s="8"/>
      <c r="H786" s="675"/>
      <c r="I786" s="675"/>
      <c r="J786" s="675"/>
      <c r="K786" s="675"/>
      <c r="L786" s="675"/>
      <c r="M786" s="675"/>
      <c r="N786" s="675"/>
      <c r="O786" s="675"/>
      <c r="P786" s="675"/>
      <c r="Q786" s="675"/>
      <c r="R786" s="675"/>
      <c r="S786" s="675"/>
      <c r="T786" s="675"/>
      <c r="U786" s="8"/>
      <c r="V786" s="8"/>
      <c r="W786" s="8"/>
      <c r="X786" s="8"/>
      <c r="Y786" s="8"/>
      <c r="Z786" s="8"/>
      <c r="AA786" s="8"/>
      <c r="AB786" s="8"/>
      <c r="AC786" s="8"/>
    </row>
    <row r="787" ht="12.75" customHeight="1" spans="1:29" x14ac:dyDescent="0.25">
      <c r="A787" s="8"/>
      <c r="B787" s="8"/>
      <c r="C787" s="8"/>
      <c r="D787" s="8"/>
      <c r="E787" s="8"/>
      <c r="F787" s="8"/>
      <c r="G787" s="8"/>
      <c r="H787" s="675"/>
      <c r="I787" s="675"/>
      <c r="J787" s="675"/>
      <c r="K787" s="675"/>
      <c r="L787" s="675"/>
      <c r="M787" s="675"/>
      <c r="N787" s="675"/>
      <c r="O787" s="675"/>
      <c r="P787" s="675"/>
      <c r="Q787" s="675"/>
      <c r="R787" s="675"/>
      <c r="S787" s="675"/>
      <c r="T787" s="675"/>
      <c r="U787" s="8"/>
      <c r="V787" s="8"/>
      <c r="W787" s="8"/>
      <c r="X787" s="8"/>
      <c r="Y787" s="8"/>
      <c r="Z787" s="8"/>
      <c r="AA787" s="8"/>
      <c r="AB787" s="8"/>
      <c r="AC787" s="8"/>
    </row>
    <row r="788" ht="12.75" customHeight="1" spans="1:29" x14ac:dyDescent="0.25">
      <c r="A788" s="8"/>
      <c r="B788" s="8"/>
      <c r="C788" s="8"/>
      <c r="D788" s="8"/>
      <c r="E788" s="8"/>
      <c r="F788" s="8"/>
      <c r="G788" s="8"/>
      <c r="H788" s="675"/>
      <c r="I788" s="675"/>
      <c r="J788" s="675"/>
      <c r="K788" s="675"/>
      <c r="L788" s="675"/>
      <c r="M788" s="675"/>
      <c r="N788" s="675"/>
      <c r="O788" s="675"/>
      <c r="P788" s="675"/>
      <c r="Q788" s="675"/>
      <c r="R788" s="675"/>
      <c r="S788" s="675"/>
      <c r="T788" s="675"/>
      <c r="U788" s="8"/>
      <c r="V788" s="8"/>
      <c r="W788" s="8"/>
      <c r="X788" s="8"/>
      <c r="Y788" s="8"/>
      <c r="Z788" s="8"/>
      <c r="AA788" s="8"/>
      <c r="AB788" s="8"/>
      <c r="AC788" s="8"/>
    </row>
    <row r="789" ht="12.75" customHeight="1" spans="1:29" x14ac:dyDescent="0.25">
      <c r="A789" s="8"/>
      <c r="B789" s="8"/>
      <c r="C789" s="8"/>
      <c r="D789" s="8"/>
      <c r="E789" s="8"/>
      <c r="F789" s="8"/>
      <c r="G789" s="8"/>
      <c r="H789" s="675"/>
      <c r="I789" s="675"/>
      <c r="J789" s="675"/>
      <c r="K789" s="675"/>
      <c r="L789" s="675"/>
      <c r="M789" s="675"/>
      <c r="N789" s="675"/>
      <c r="O789" s="675"/>
      <c r="P789" s="675"/>
      <c r="Q789" s="675"/>
      <c r="R789" s="675"/>
      <c r="S789" s="675"/>
      <c r="T789" s="675"/>
      <c r="U789" s="8"/>
      <c r="V789" s="8"/>
      <c r="W789" s="8"/>
      <c r="X789" s="8"/>
      <c r="Y789" s="8"/>
      <c r="Z789" s="8"/>
      <c r="AA789" s="8"/>
      <c r="AB789" s="8"/>
      <c r="AC789" s="8"/>
    </row>
    <row r="790" ht="12.75" customHeight="1" spans="1:29" x14ac:dyDescent="0.25">
      <c r="A790" s="8"/>
      <c r="B790" s="8"/>
      <c r="C790" s="8"/>
      <c r="D790" s="8"/>
      <c r="E790" s="8"/>
      <c r="F790" s="8"/>
      <c r="G790" s="8"/>
      <c r="H790" s="675"/>
      <c r="I790" s="675"/>
      <c r="J790" s="675"/>
      <c r="K790" s="675"/>
      <c r="L790" s="675"/>
      <c r="M790" s="675"/>
      <c r="N790" s="675"/>
      <c r="O790" s="675"/>
      <c r="P790" s="675"/>
      <c r="Q790" s="675"/>
      <c r="R790" s="675"/>
      <c r="S790" s="675"/>
      <c r="T790" s="675"/>
      <c r="U790" s="8"/>
      <c r="V790" s="8"/>
      <c r="W790" s="8"/>
      <c r="X790" s="8"/>
      <c r="Y790" s="8"/>
      <c r="Z790" s="8"/>
      <c r="AA790" s="8"/>
      <c r="AB790" s="8"/>
      <c r="AC790" s="8"/>
    </row>
    <row r="791" ht="12.75" customHeight="1" spans="1:29" x14ac:dyDescent="0.25">
      <c r="A791" s="8"/>
      <c r="B791" s="8"/>
      <c r="C791" s="8"/>
      <c r="D791" s="8"/>
      <c r="E791" s="8"/>
      <c r="F791" s="8"/>
      <c r="G791" s="8"/>
      <c r="H791" s="675"/>
      <c r="I791" s="675"/>
      <c r="J791" s="675"/>
      <c r="K791" s="675"/>
      <c r="L791" s="675"/>
      <c r="M791" s="675"/>
      <c r="N791" s="675"/>
      <c r="O791" s="675"/>
      <c r="P791" s="675"/>
      <c r="Q791" s="675"/>
      <c r="R791" s="675"/>
      <c r="S791" s="675"/>
      <c r="T791" s="675"/>
      <c r="U791" s="8"/>
      <c r="V791" s="8"/>
      <c r="W791" s="8"/>
      <c r="X791" s="8"/>
      <c r="Y791" s="8"/>
      <c r="Z791" s="8"/>
      <c r="AA791" s="8"/>
      <c r="AB791" s="8"/>
      <c r="AC791" s="8"/>
    </row>
    <row r="792" ht="12.75" customHeight="1" spans="1:29" x14ac:dyDescent="0.25">
      <c r="A792" s="8"/>
      <c r="B792" s="8"/>
      <c r="C792" s="8"/>
      <c r="D792" s="8"/>
      <c r="E792" s="8"/>
      <c r="F792" s="8"/>
      <c r="G792" s="8"/>
      <c r="H792" s="675"/>
      <c r="I792" s="675"/>
      <c r="J792" s="675"/>
      <c r="K792" s="675"/>
      <c r="L792" s="675"/>
      <c r="M792" s="675"/>
      <c r="N792" s="675"/>
      <c r="O792" s="675"/>
      <c r="P792" s="675"/>
      <c r="Q792" s="675"/>
      <c r="R792" s="675"/>
      <c r="S792" s="675"/>
      <c r="T792" s="675"/>
      <c r="U792" s="8"/>
      <c r="V792" s="8"/>
      <c r="W792" s="8"/>
      <c r="X792" s="8"/>
      <c r="Y792" s="8"/>
      <c r="Z792" s="8"/>
      <c r="AA792" s="8"/>
      <c r="AB792" s="8"/>
      <c r="AC792" s="8"/>
    </row>
    <row r="793" ht="12.75" customHeight="1" spans="1:29" x14ac:dyDescent="0.25">
      <c r="A793" s="8"/>
      <c r="B793" s="8"/>
      <c r="C793" s="8"/>
      <c r="D793" s="8"/>
      <c r="E793" s="8"/>
      <c r="F793" s="8"/>
      <c r="G793" s="8"/>
      <c r="H793" s="675"/>
      <c r="I793" s="675"/>
      <c r="J793" s="675"/>
      <c r="K793" s="675"/>
      <c r="L793" s="675"/>
      <c r="M793" s="675"/>
      <c r="N793" s="675"/>
      <c r="O793" s="675"/>
      <c r="P793" s="675"/>
      <c r="Q793" s="675"/>
      <c r="R793" s="675"/>
      <c r="S793" s="675"/>
      <c r="T793" s="675"/>
      <c r="U793" s="8"/>
      <c r="V793" s="8"/>
      <c r="W793" s="8"/>
      <c r="X793" s="8"/>
      <c r="Y793" s="8"/>
      <c r="Z793" s="8"/>
      <c r="AA793" s="8"/>
      <c r="AB793" s="8"/>
      <c r="AC793" s="8"/>
    </row>
    <row r="794" ht="12.75" customHeight="1" spans="1:29" x14ac:dyDescent="0.25">
      <c r="A794" s="8"/>
      <c r="B794" s="8"/>
      <c r="C794" s="8"/>
      <c r="D794" s="8"/>
      <c r="E794" s="8"/>
      <c r="F794" s="8"/>
      <c r="G794" s="8"/>
      <c r="H794" s="675"/>
      <c r="I794" s="675"/>
      <c r="J794" s="675"/>
      <c r="K794" s="675"/>
      <c r="L794" s="675"/>
      <c r="M794" s="675"/>
      <c r="N794" s="675"/>
      <c r="O794" s="675"/>
      <c r="P794" s="675"/>
      <c r="Q794" s="675"/>
      <c r="R794" s="675"/>
      <c r="S794" s="675"/>
      <c r="T794" s="675"/>
      <c r="U794" s="8"/>
      <c r="V794" s="8"/>
      <c r="W794" s="8"/>
      <c r="X794" s="8"/>
      <c r="Y794" s="8"/>
      <c r="Z794" s="8"/>
      <c r="AA794" s="8"/>
      <c r="AB794" s="8"/>
      <c r="AC794" s="8"/>
    </row>
    <row r="795" ht="12.75" customHeight="1" spans="1:29" x14ac:dyDescent="0.25">
      <c r="A795" s="8"/>
      <c r="B795" s="8"/>
      <c r="C795" s="8"/>
      <c r="D795" s="8"/>
      <c r="E795" s="8"/>
      <c r="F795" s="8"/>
      <c r="G795" s="8"/>
      <c r="H795" s="675"/>
      <c r="I795" s="675"/>
      <c r="J795" s="675"/>
      <c r="K795" s="675"/>
      <c r="L795" s="675"/>
      <c r="M795" s="675"/>
      <c r="N795" s="675"/>
      <c r="O795" s="675"/>
      <c r="P795" s="675"/>
      <c r="Q795" s="675"/>
      <c r="R795" s="675"/>
      <c r="S795" s="675"/>
      <c r="T795" s="675"/>
      <c r="U795" s="8"/>
      <c r="V795" s="8"/>
      <c r="W795" s="8"/>
      <c r="X795" s="8"/>
      <c r="Y795" s="8"/>
      <c r="Z795" s="8"/>
      <c r="AA795" s="8"/>
      <c r="AB795" s="8"/>
      <c r="AC795" s="8"/>
    </row>
    <row r="796" ht="12.75" customHeight="1" spans="1:29" x14ac:dyDescent="0.25">
      <c r="A796" s="8"/>
      <c r="B796" s="8"/>
      <c r="C796" s="8"/>
      <c r="D796" s="8"/>
      <c r="E796" s="8"/>
      <c r="F796" s="8"/>
      <c r="G796" s="8"/>
      <c r="H796" s="675"/>
      <c r="I796" s="675"/>
      <c r="J796" s="675"/>
      <c r="K796" s="675"/>
      <c r="L796" s="675"/>
      <c r="M796" s="675"/>
      <c r="N796" s="675"/>
      <c r="O796" s="675"/>
      <c r="P796" s="675"/>
      <c r="Q796" s="675"/>
      <c r="R796" s="675"/>
      <c r="S796" s="675"/>
      <c r="T796" s="675"/>
      <c r="U796" s="8"/>
      <c r="V796" s="8"/>
      <c r="W796" s="8"/>
      <c r="X796" s="8"/>
      <c r="Y796" s="8"/>
      <c r="Z796" s="8"/>
      <c r="AA796" s="8"/>
      <c r="AB796" s="8"/>
      <c r="AC796" s="8"/>
    </row>
    <row r="797" ht="12.75" customHeight="1" spans="1:29" x14ac:dyDescent="0.25">
      <c r="A797" s="8"/>
      <c r="B797" s="8"/>
      <c r="C797" s="8"/>
      <c r="D797" s="8"/>
      <c r="E797" s="8"/>
      <c r="F797" s="8"/>
      <c r="G797" s="8"/>
      <c r="H797" s="675"/>
      <c r="I797" s="675"/>
      <c r="J797" s="675"/>
      <c r="K797" s="675"/>
      <c r="L797" s="675"/>
      <c r="M797" s="675"/>
      <c r="N797" s="675"/>
      <c r="O797" s="675"/>
      <c r="P797" s="675"/>
      <c r="Q797" s="675"/>
      <c r="R797" s="675"/>
      <c r="S797" s="675"/>
      <c r="T797" s="675"/>
      <c r="U797" s="8"/>
      <c r="V797" s="8"/>
      <c r="W797" s="8"/>
      <c r="X797" s="8"/>
      <c r="Y797" s="8"/>
      <c r="Z797" s="8"/>
      <c r="AA797" s="8"/>
      <c r="AB797" s="8"/>
      <c r="AC797" s="8"/>
    </row>
    <row r="798" ht="12.75" customHeight="1" spans="1:29" x14ac:dyDescent="0.25">
      <c r="A798" s="8"/>
      <c r="B798" s="8"/>
      <c r="C798" s="8"/>
      <c r="D798" s="8"/>
      <c r="E798" s="8"/>
      <c r="F798" s="8"/>
      <c r="G798" s="8"/>
      <c r="H798" s="675"/>
      <c r="I798" s="675"/>
      <c r="J798" s="675"/>
      <c r="K798" s="675"/>
      <c r="L798" s="675"/>
      <c r="M798" s="675"/>
      <c r="N798" s="675"/>
      <c r="O798" s="675"/>
      <c r="P798" s="675"/>
      <c r="Q798" s="675"/>
      <c r="R798" s="675"/>
      <c r="S798" s="675"/>
      <c r="T798" s="675"/>
      <c r="U798" s="8"/>
      <c r="V798" s="8"/>
      <c r="W798" s="8"/>
      <c r="X798" s="8"/>
      <c r="Y798" s="8"/>
      <c r="Z798" s="8"/>
      <c r="AA798" s="8"/>
      <c r="AB798" s="8"/>
      <c r="AC798" s="8"/>
    </row>
    <row r="799" ht="12.75" customHeight="1" spans="1:29" x14ac:dyDescent="0.25">
      <c r="A799" s="8"/>
      <c r="B799" s="8"/>
      <c r="C799" s="8"/>
      <c r="D799" s="8"/>
      <c r="E799" s="8"/>
      <c r="F799" s="8"/>
      <c r="G799" s="8"/>
      <c r="H799" s="675"/>
      <c r="I799" s="675"/>
      <c r="J799" s="675"/>
      <c r="K799" s="675"/>
      <c r="L799" s="675"/>
      <c r="M799" s="675"/>
      <c r="N799" s="675"/>
      <c r="O799" s="675"/>
      <c r="P799" s="675"/>
      <c r="Q799" s="675"/>
      <c r="R799" s="675"/>
      <c r="S799" s="675"/>
      <c r="T799" s="675"/>
      <c r="U799" s="8"/>
      <c r="V799" s="8"/>
      <c r="W799" s="8"/>
      <c r="X799" s="8"/>
      <c r="Y799" s="8"/>
      <c r="Z799" s="8"/>
      <c r="AA799" s="8"/>
      <c r="AB799" s="8"/>
      <c r="AC799" s="8"/>
    </row>
    <row r="800" ht="12.75" customHeight="1" spans="1:29" x14ac:dyDescent="0.25">
      <c r="A800" s="8"/>
      <c r="B800" s="8"/>
      <c r="C800" s="8"/>
      <c r="D800" s="8"/>
      <c r="E800" s="8"/>
      <c r="F800" s="8"/>
      <c r="G800" s="8"/>
      <c r="H800" s="675"/>
      <c r="I800" s="675"/>
      <c r="J800" s="675"/>
      <c r="K800" s="675"/>
      <c r="L800" s="675"/>
      <c r="M800" s="675"/>
      <c r="N800" s="675"/>
      <c r="O800" s="675"/>
      <c r="P800" s="675"/>
      <c r="Q800" s="675"/>
      <c r="R800" s="675"/>
      <c r="S800" s="675"/>
      <c r="T800" s="675"/>
      <c r="U800" s="8"/>
      <c r="V800" s="8"/>
      <c r="W800" s="8"/>
      <c r="X800" s="8"/>
      <c r="Y800" s="8"/>
      <c r="Z800" s="8"/>
      <c r="AA800" s="8"/>
      <c r="AB800" s="8"/>
      <c r="AC800" s="8"/>
    </row>
    <row r="801" ht="12.75" customHeight="1" spans="1:29" x14ac:dyDescent="0.25">
      <c r="A801" s="8"/>
      <c r="B801" s="8"/>
      <c r="C801" s="8"/>
      <c r="D801" s="8"/>
      <c r="E801" s="8"/>
      <c r="F801" s="8"/>
      <c r="G801" s="8"/>
      <c r="H801" s="675"/>
      <c r="I801" s="675"/>
      <c r="J801" s="675"/>
      <c r="K801" s="675"/>
      <c r="L801" s="675"/>
      <c r="M801" s="675"/>
      <c r="N801" s="675"/>
      <c r="O801" s="675"/>
      <c r="P801" s="675"/>
      <c r="Q801" s="675"/>
      <c r="R801" s="675"/>
      <c r="S801" s="675"/>
      <c r="T801" s="675"/>
      <c r="U801" s="8"/>
      <c r="V801" s="8"/>
      <c r="W801" s="8"/>
      <c r="X801" s="8"/>
      <c r="Y801" s="8"/>
      <c r="Z801" s="8"/>
      <c r="AA801" s="8"/>
      <c r="AB801" s="8"/>
      <c r="AC801" s="8"/>
    </row>
    <row r="802" ht="12.75" customHeight="1" spans="1:29" x14ac:dyDescent="0.25">
      <c r="A802" s="8"/>
      <c r="B802" s="8"/>
      <c r="C802" s="8"/>
      <c r="D802" s="8"/>
      <c r="E802" s="8"/>
      <c r="F802" s="8"/>
      <c r="G802" s="8"/>
      <c r="H802" s="675"/>
      <c r="I802" s="675"/>
      <c r="J802" s="675"/>
      <c r="K802" s="675"/>
      <c r="L802" s="675"/>
      <c r="M802" s="675"/>
      <c r="N802" s="675"/>
      <c r="O802" s="675"/>
      <c r="P802" s="675"/>
      <c r="Q802" s="675"/>
      <c r="R802" s="675"/>
      <c r="S802" s="675"/>
      <c r="T802" s="675"/>
      <c r="U802" s="8"/>
      <c r="V802" s="8"/>
      <c r="W802" s="8"/>
      <c r="X802" s="8"/>
      <c r="Y802" s="8"/>
      <c r="Z802" s="8"/>
      <c r="AA802" s="8"/>
      <c r="AB802" s="8"/>
      <c r="AC802" s="8"/>
    </row>
    <row r="803" ht="12.75" customHeight="1" spans="1:29" x14ac:dyDescent="0.25">
      <c r="A803" s="8"/>
      <c r="B803" s="8"/>
      <c r="C803" s="8"/>
      <c r="D803" s="8"/>
      <c r="E803" s="8"/>
      <c r="F803" s="8"/>
      <c r="G803" s="8"/>
      <c r="H803" s="675"/>
      <c r="I803" s="675"/>
      <c r="J803" s="675"/>
      <c r="K803" s="675"/>
      <c r="L803" s="675"/>
      <c r="M803" s="675"/>
      <c r="N803" s="675"/>
      <c r="O803" s="675"/>
      <c r="P803" s="675"/>
      <c r="Q803" s="675"/>
      <c r="R803" s="675"/>
      <c r="S803" s="675"/>
      <c r="T803" s="675"/>
      <c r="U803" s="8"/>
      <c r="V803" s="8"/>
      <c r="W803" s="8"/>
      <c r="X803" s="8"/>
      <c r="Y803" s="8"/>
      <c r="Z803" s="8"/>
      <c r="AA803" s="8"/>
      <c r="AB803" s="8"/>
      <c r="AC803" s="8"/>
    </row>
    <row r="804" ht="12.75" customHeight="1" spans="1:29" x14ac:dyDescent="0.25">
      <c r="A804" s="8"/>
      <c r="B804" s="8"/>
      <c r="C804" s="8"/>
      <c r="D804" s="8"/>
      <c r="E804" s="8"/>
      <c r="F804" s="8"/>
      <c r="G804" s="8"/>
      <c r="H804" s="675"/>
      <c r="I804" s="675"/>
      <c r="J804" s="675"/>
      <c r="K804" s="675"/>
      <c r="L804" s="675"/>
      <c r="M804" s="675"/>
      <c r="N804" s="675"/>
      <c r="O804" s="675"/>
      <c r="P804" s="675"/>
      <c r="Q804" s="675"/>
      <c r="R804" s="675"/>
      <c r="S804" s="675"/>
      <c r="T804" s="675"/>
      <c r="U804" s="8"/>
      <c r="V804" s="8"/>
      <c r="W804" s="8"/>
      <c r="X804" s="8"/>
      <c r="Y804" s="8"/>
      <c r="Z804" s="8"/>
      <c r="AA804" s="8"/>
      <c r="AB804" s="8"/>
      <c r="AC804" s="8"/>
    </row>
    <row r="805" ht="12.75" customHeight="1" spans="1:29" x14ac:dyDescent="0.25">
      <c r="A805" s="8"/>
      <c r="B805" s="8"/>
      <c r="C805" s="8"/>
      <c r="D805" s="8"/>
      <c r="E805" s="8"/>
      <c r="F805" s="8"/>
      <c r="G805" s="8"/>
      <c r="H805" s="675"/>
      <c r="I805" s="675"/>
      <c r="J805" s="675"/>
      <c r="K805" s="675"/>
      <c r="L805" s="675"/>
      <c r="M805" s="675"/>
      <c r="N805" s="675"/>
      <c r="O805" s="675"/>
      <c r="P805" s="675"/>
      <c r="Q805" s="675"/>
      <c r="R805" s="675"/>
      <c r="S805" s="675"/>
      <c r="T805" s="675"/>
      <c r="U805" s="8"/>
      <c r="V805" s="8"/>
      <c r="W805" s="8"/>
      <c r="X805" s="8"/>
      <c r="Y805" s="8"/>
      <c r="Z805" s="8"/>
      <c r="AA805" s="8"/>
      <c r="AB805" s="8"/>
      <c r="AC805" s="8"/>
    </row>
    <row r="806" ht="12.75" customHeight="1" spans="1:29" x14ac:dyDescent="0.25">
      <c r="A806" s="8"/>
      <c r="B806" s="8"/>
      <c r="C806" s="8"/>
      <c r="D806" s="8"/>
      <c r="E806" s="8"/>
      <c r="F806" s="8"/>
      <c r="G806" s="8"/>
      <c r="H806" s="675"/>
      <c r="I806" s="675"/>
      <c r="J806" s="675"/>
      <c r="K806" s="675"/>
      <c r="L806" s="675"/>
      <c r="M806" s="675"/>
      <c r="N806" s="675"/>
      <c r="O806" s="675"/>
      <c r="P806" s="675"/>
      <c r="Q806" s="675"/>
      <c r="R806" s="675"/>
      <c r="S806" s="675"/>
      <c r="T806" s="675"/>
      <c r="U806" s="8"/>
      <c r="V806" s="8"/>
      <c r="W806" s="8"/>
      <c r="X806" s="8"/>
      <c r="Y806" s="8"/>
      <c r="Z806" s="8"/>
      <c r="AA806" s="8"/>
      <c r="AB806" s="8"/>
      <c r="AC806" s="8"/>
    </row>
    <row r="807" ht="12.75" customHeight="1" spans="1:29" x14ac:dyDescent="0.25">
      <c r="A807" s="8"/>
      <c r="B807" s="8"/>
      <c r="C807" s="8"/>
      <c r="D807" s="8"/>
      <c r="E807" s="8"/>
      <c r="F807" s="8"/>
      <c r="G807" s="8"/>
      <c r="H807" s="675"/>
      <c r="I807" s="675"/>
      <c r="J807" s="675"/>
      <c r="K807" s="675"/>
      <c r="L807" s="675"/>
      <c r="M807" s="675"/>
      <c r="N807" s="675"/>
      <c r="O807" s="675"/>
      <c r="P807" s="675"/>
      <c r="Q807" s="675"/>
      <c r="R807" s="675"/>
      <c r="S807" s="675"/>
      <c r="T807" s="675"/>
      <c r="U807" s="8"/>
      <c r="V807" s="8"/>
      <c r="W807" s="8"/>
      <c r="X807" s="8"/>
      <c r="Y807" s="8"/>
      <c r="Z807" s="8"/>
      <c r="AA807" s="8"/>
      <c r="AB807" s="8"/>
      <c r="AC807" s="8"/>
    </row>
    <row r="808" ht="12.75" customHeight="1" spans="1:29" x14ac:dyDescent="0.25">
      <c r="A808" s="8"/>
      <c r="B808" s="8"/>
      <c r="C808" s="8"/>
      <c r="D808" s="8"/>
      <c r="E808" s="8"/>
      <c r="F808" s="8"/>
      <c r="G808" s="8"/>
      <c r="H808" s="675"/>
      <c r="I808" s="675"/>
      <c r="J808" s="675"/>
      <c r="K808" s="675"/>
      <c r="L808" s="675"/>
      <c r="M808" s="675"/>
      <c r="N808" s="675"/>
      <c r="O808" s="675"/>
      <c r="P808" s="675"/>
      <c r="Q808" s="675"/>
      <c r="R808" s="675"/>
      <c r="S808" s="675"/>
      <c r="T808" s="675"/>
      <c r="U808" s="8"/>
      <c r="V808" s="8"/>
      <c r="W808" s="8"/>
      <c r="X808" s="8"/>
      <c r="Y808" s="8"/>
      <c r="Z808" s="8"/>
      <c r="AA808" s="8"/>
      <c r="AB808" s="8"/>
      <c r="AC808" s="8"/>
    </row>
    <row r="809" ht="12.75" customHeight="1" spans="1:29" x14ac:dyDescent="0.25">
      <c r="A809" s="8"/>
      <c r="B809" s="8"/>
      <c r="C809" s="8"/>
      <c r="D809" s="8"/>
      <c r="E809" s="8"/>
      <c r="F809" s="8"/>
      <c r="G809" s="8"/>
      <c r="H809" s="675"/>
      <c r="I809" s="675"/>
      <c r="J809" s="675"/>
      <c r="K809" s="675"/>
      <c r="L809" s="675"/>
      <c r="M809" s="675"/>
      <c r="N809" s="675"/>
      <c r="O809" s="675"/>
      <c r="P809" s="675"/>
      <c r="Q809" s="675"/>
      <c r="R809" s="675"/>
      <c r="S809" s="675"/>
      <c r="T809" s="675"/>
      <c r="U809" s="8"/>
      <c r="V809" s="8"/>
      <c r="W809" s="8"/>
      <c r="X809" s="8"/>
      <c r="Y809" s="8"/>
      <c r="Z809" s="8"/>
      <c r="AA809" s="8"/>
      <c r="AB809" s="8"/>
      <c r="AC809" s="8"/>
    </row>
    <row r="810" ht="12.75" customHeight="1" spans="1:29" x14ac:dyDescent="0.25">
      <c r="A810" s="8"/>
      <c r="B810" s="8"/>
      <c r="C810" s="8"/>
      <c r="D810" s="8"/>
      <c r="E810" s="8"/>
      <c r="F810" s="8"/>
      <c r="G810" s="8"/>
      <c r="H810" s="675"/>
      <c r="I810" s="675"/>
      <c r="J810" s="675"/>
      <c r="K810" s="675"/>
      <c r="L810" s="675"/>
      <c r="M810" s="675"/>
      <c r="N810" s="675"/>
      <c r="O810" s="675"/>
      <c r="P810" s="675"/>
      <c r="Q810" s="675"/>
      <c r="R810" s="675"/>
      <c r="S810" s="675"/>
      <c r="T810" s="675"/>
      <c r="U810" s="8"/>
      <c r="V810" s="8"/>
      <c r="W810" s="8"/>
      <c r="X810" s="8"/>
      <c r="Y810" s="8"/>
      <c r="Z810" s="8"/>
      <c r="AA810" s="8"/>
      <c r="AB810" s="8"/>
      <c r="AC810" s="8"/>
    </row>
    <row r="811" ht="12.75" customHeight="1" spans="1:29" x14ac:dyDescent="0.25">
      <c r="A811" s="8"/>
      <c r="B811" s="8"/>
      <c r="C811" s="8"/>
      <c r="D811" s="8"/>
      <c r="E811" s="8"/>
      <c r="F811" s="8"/>
      <c r="G811" s="8"/>
      <c r="H811" s="675"/>
      <c r="I811" s="675"/>
      <c r="J811" s="675"/>
      <c r="K811" s="675"/>
      <c r="L811" s="675"/>
      <c r="M811" s="675"/>
      <c r="N811" s="675"/>
      <c r="O811" s="675"/>
      <c r="P811" s="675"/>
      <c r="Q811" s="675"/>
      <c r="R811" s="675"/>
      <c r="S811" s="675"/>
      <c r="T811" s="675"/>
      <c r="U811" s="8"/>
      <c r="V811" s="8"/>
      <c r="W811" s="8"/>
      <c r="X811" s="8"/>
      <c r="Y811" s="8"/>
      <c r="Z811" s="8"/>
      <c r="AA811" s="8"/>
      <c r="AB811" s="8"/>
      <c r="AC811" s="8"/>
    </row>
    <row r="812" ht="12.75" customHeight="1" spans="1:29" x14ac:dyDescent="0.25">
      <c r="A812" s="8"/>
      <c r="B812" s="8"/>
      <c r="C812" s="8"/>
      <c r="D812" s="8"/>
      <c r="E812" s="8"/>
      <c r="F812" s="8"/>
      <c r="G812" s="8"/>
      <c r="H812" s="675"/>
      <c r="I812" s="675"/>
      <c r="J812" s="675"/>
      <c r="K812" s="675"/>
      <c r="L812" s="675"/>
      <c r="M812" s="675"/>
      <c r="N812" s="675"/>
      <c r="O812" s="675"/>
      <c r="P812" s="675"/>
      <c r="Q812" s="675"/>
      <c r="R812" s="675"/>
      <c r="S812" s="675"/>
      <c r="T812" s="675"/>
      <c r="U812" s="8"/>
      <c r="V812" s="8"/>
      <c r="W812" s="8"/>
      <c r="X812" s="8"/>
      <c r="Y812" s="8"/>
      <c r="Z812" s="8"/>
      <c r="AA812" s="8"/>
      <c r="AB812" s="8"/>
      <c r="AC812" s="8"/>
    </row>
    <row r="813" ht="12.75" customHeight="1" spans="1:29" x14ac:dyDescent="0.25">
      <c r="A813" s="8"/>
      <c r="B813" s="8"/>
      <c r="C813" s="8"/>
      <c r="D813" s="8"/>
      <c r="E813" s="8"/>
      <c r="F813" s="8"/>
      <c r="G813" s="8"/>
      <c r="H813" s="675"/>
      <c r="I813" s="675"/>
      <c r="J813" s="675"/>
      <c r="K813" s="675"/>
      <c r="L813" s="675"/>
      <c r="M813" s="675"/>
      <c r="N813" s="675"/>
      <c r="O813" s="675"/>
      <c r="P813" s="675"/>
      <c r="Q813" s="675"/>
      <c r="R813" s="675"/>
      <c r="S813" s="675"/>
      <c r="T813" s="675"/>
      <c r="U813" s="8"/>
      <c r="V813" s="8"/>
      <c r="W813" s="8"/>
      <c r="X813" s="8"/>
      <c r="Y813" s="8"/>
      <c r="Z813" s="8"/>
      <c r="AA813" s="8"/>
      <c r="AB813" s="8"/>
      <c r="AC813" s="8"/>
    </row>
    <row r="814" ht="12.75" customHeight="1" spans="1:29" x14ac:dyDescent="0.25">
      <c r="A814" s="8"/>
      <c r="B814" s="8"/>
      <c r="C814" s="8"/>
      <c r="D814" s="8"/>
      <c r="E814" s="8"/>
      <c r="F814" s="8"/>
      <c r="G814" s="8"/>
      <c r="H814" s="675"/>
      <c r="I814" s="675"/>
      <c r="J814" s="675"/>
      <c r="K814" s="675"/>
      <c r="L814" s="675"/>
      <c r="M814" s="675"/>
      <c r="N814" s="675"/>
      <c r="O814" s="675"/>
      <c r="P814" s="675"/>
      <c r="Q814" s="675"/>
      <c r="R814" s="675"/>
      <c r="S814" s="675"/>
      <c r="T814" s="675"/>
      <c r="U814" s="8"/>
      <c r="V814" s="8"/>
      <c r="W814" s="8"/>
      <c r="X814" s="8"/>
      <c r="Y814" s="8"/>
      <c r="Z814" s="8"/>
      <c r="AA814" s="8"/>
      <c r="AB814" s="8"/>
      <c r="AC814" s="8"/>
    </row>
    <row r="815" ht="12.75" customHeight="1" spans="1:29" x14ac:dyDescent="0.25">
      <c r="A815" s="8"/>
      <c r="B815" s="8"/>
      <c r="C815" s="8"/>
      <c r="D815" s="8"/>
      <c r="E815" s="8"/>
      <c r="F815" s="8"/>
      <c r="G815" s="8"/>
      <c r="H815" s="675"/>
      <c r="I815" s="675"/>
      <c r="J815" s="675"/>
      <c r="K815" s="675"/>
      <c r="L815" s="675"/>
      <c r="M815" s="675"/>
      <c r="N815" s="675"/>
      <c r="O815" s="675"/>
      <c r="P815" s="675"/>
      <c r="Q815" s="675"/>
      <c r="R815" s="675"/>
      <c r="S815" s="675"/>
      <c r="T815" s="675"/>
      <c r="U815" s="8"/>
      <c r="V815" s="8"/>
      <c r="W815" s="8"/>
      <c r="X815" s="8"/>
      <c r="Y815" s="8"/>
      <c r="Z815" s="8"/>
      <c r="AA815" s="8"/>
      <c r="AB815" s="8"/>
      <c r="AC815" s="8"/>
    </row>
    <row r="816" ht="12.75" customHeight="1" spans="1:29" x14ac:dyDescent="0.25">
      <c r="A816" s="8"/>
      <c r="B816" s="8"/>
      <c r="C816" s="8"/>
      <c r="D816" s="8"/>
      <c r="E816" s="8"/>
      <c r="F816" s="8"/>
      <c r="G816" s="8"/>
      <c r="H816" s="675"/>
      <c r="I816" s="675"/>
      <c r="J816" s="675"/>
      <c r="K816" s="675"/>
      <c r="L816" s="675"/>
      <c r="M816" s="675"/>
      <c r="N816" s="675"/>
      <c r="O816" s="675"/>
      <c r="P816" s="675"/>
      <c r="Q816" s="675"/>
      <c r="R816" s="675"/>
      <c r="S816" s="675"/>
      <c r="T816" s="675"/>
      <c r="U816" s="8"/>
      <c r="V816" s="8"/>
      <c r="W816" s="8"/>
      <c r="X816" s="8"/>
      <c r="Y816" s="8"/>
      <c r="Z816" s="8"/>
      <c r="AA816" s="8"/>
      <c r="AB816" s="8"/>
      <c r="AC816" s="8"/>
    </row>
    <row r="817" ht="12.75" customHeight="1" spans="1:29" x14ac:dyDescent="0.25">
      <c r="A817" s="8"/>
      <c r="B817" s="8"/>
      <c r="C817" s="8"/>
      <c r="D817" s="8"/>
      <c r="E817" s="8"/>
      <c r="F817" s="8"/>
      <c r="G817" s="8"/>
      <c r="H817" s="675"/>
      <c r="I817" s="675"/>
      <c r="J817" s="675"/>
      <c r="K817" s="675"/>
      <c r="L817" s="675"/>
      <c r="M817" s="675"/>
      <c r="N817" s="675"/>
      <c r="O817" s="675"/>
      <c r="P817" s="675"/>
      <c r="Q817" s="675"/>
      <c r="R817" s="675"/>
      <c r="S817" s="675"/>
      <c r="T817" s="675"/>
      <c r="U817" s="8"/>
      <c r="V817" s="8"/>
      <c r="W817" s="8"/>
      <c r="X817" s="8"/>
      <c r="Y817" s="8"/>
      <c r="Z817" s="8"/>
      <c r="AA817" s="8"/>
      <c r="AB817" s="8"/>
      <c r="AC817" s="8"/>
    </row>
    <row r="818" ht="12.75" customHeight="1" spans="1:29" x14ac:dyDescent="0.25">
      <c r="A818" s="8"/>
      <c r="B818" s="8"/>
      <c r="C818" s="8"/>
      <c r="D818" s="8"/>
      <c r="E818" s="8"/>
      <c r="F818" s="8"/>
      <c r="G818" s="8"/>
      <c r="H818" s="675"/>
      <c r="I818" s="675"/>
      <c r="J818" s="675"/>
      <c r="K818" s="675"/>
      <c r="L818" s="675"/>
      <c r="M818" s="675"/>
      <c r="N818" s="675"/>
      <c r="O818" s="675"/>
      <c r="P818" s="675"/>
      <c r="Q818" s="675"/>
      <c r="R818" s="675"/>
      <c r="S818" s="675"/>
      <c r="T818" s="675"/>
      <c r="U818" s="8"/>
      <c r="V818" s="8"/>
      <c r="W818" s="8"/>
      <c r="X818" s="8"/>
      <c r="Y818" s="8"/>
      <c r="Z818" s="8"/>
      <c r="AA818" s="8"/>
      <c r="AB818" s="8"/>
      <c r="AC818" s="8"/>
    </row>
    <row r="819" ht="12.75" customHeight="1" spans="1:29" x14ac:dyDescent="0.25">
      <c r="A819" s="8"/>
      <c r="B819" s="8"/>
      <c r="C819" s="8"/>
      <c r="D819" s="8"/>
      <c r="E819" s="8"/>
      <c r="F819" s="8"/>
      <c r="G819" s="8"/>
      <c r="H819" s="675"/>
      <c r="I819" s="675"/>
      <c r="J819" s="675"/>
      <c r="K819" s="675"/>
      <c r="L819" s="675"/>
      <c r="M819" s="675"/>
      <c r="N819" s="675"/>
      <c r="O819" s="675"/>
      <c r="P819" s="675"/>
      <c r="Q819" s="675"/>
      <c r="R819" s="675"/>
      <c r="S819" s="675"/>
      <c r="T819" s="675"/>
      <c r="U819" s="8"/>
      <c r="V819" s="8"/>
      <c r="W819" s="8"/>
      <c r="X819" s="8"/>
      <c r="Y819" s="8"/>
      <c r="Z819" s="8"/>
      <c r="AA819" s="8"/>
      <c r="AB819" s="8"/>
      <c r="AC819" s="8"/>
    </row>
    <row r="820" ht="12.75" customHeight="1" spans="1:29" x14ac:dyDescent="0.25">
      <c r="A820" s="8"/>
      <c r="B820" s="8"/>
      <c r="C820" s="8"/>
      <c r="D820" s="8"/>
      <c r="E820" s="8"/>
      <c r="F820" s="8"/>
      <c r="G820" s="8"/>
      <c r="H820" s="675"/>
      <c r="I820" s="675"/>
      <c r="J820" s="675"/>
      <c r="K820" s="675"/>
      <c r="L820" s="675"/>
      <c r="M820" s="675"/>
      <c r="N820" s="675"/>
      <c r="O820" s="675"/>
      <c r="P820" s="675"/>
      <c r="Q820" s="675"/>
      <c r="R820" s="675"/>
      <c r="S820" s="675"/>
      <c r="T820" s="675"/>
      <c r="U820" s="8"/>
      <c r="V820" s="8"/>
      <c r="W820" s="8"/>
      <c r="X820" s="8"/>
      <c r="Y820" s="8"/>
      <c r="Z820" s="8"/>
      <c r="AA820" s="8"/>
      <c r="AB820" s="8"/>
      <c r="AC820" s="8"/>
    </row>
    <row r="821" ht="12.75" customHeight="1" spans="1:29" x14ac:dyDescent="0.25">
      <c r="A821" s="8"/>
      <c r="B821" s="8"/>
      <c r="C821" s="8"/>
      <c r="D821" s="8"/>
      <c r="E821" s="8"/>
      <c r="F821" s="8"/>
      <c r="G821" s="8"/>
      <c r="H821" s="675"/>
      <c r="I821" s="675"/>
      <c r="J821" s="675"/>
      <c r="K821" s="675"/>
      <c r="L821" s="675"/>
      <c r="M821" s="675"/>
      <c r="N821" s="675"/>
      <c r="O821" s="675"/>
      <c r="P821" s="675"/>
      <c r="Q821" s="675"/>
      <c r="R821" s="675"/>
      <c r="S821" s="675"/>
      <c r="T821" s="675"/>
      <c r="U821" s="8"/>
      <c r="V821" s="8"/>
      <c r="W821" s="8"/>
      <c r="X821" s="8"/>
      <c r="Y821" s="8"/>
      <c r="Z821" s="8"/>
      <c r="AA821" s="8"/>
      <c r="AB821" s="8"/>
      <c r="AC821" s="8"/>
    </row>
    <row r="822" ht="12.75" customHeight="1" spans="1:29" x14ac:dyDescent="0.25">
      <c r="A822" s="8"/>
      <c r="B822" s="8"/>
      <c r="C822" s="8"/>
      <c r="D822" s="8"/>
      <c r="E822" s="8"/>
      <c r="F822" s="8"/>
      <c r="G822" s="8"/>
      <c r="H822" s="675"/>
      <c r="I822" s="675"/>
      <c r="J822" s="675"/>
      <c r="K822" s="675"/>
      <c r="L822" s="675"/>
      <c r="M822" s="675"/>
      <c r="N822" s="675"/>
      <c r="O822" s="675"/>
      <c r="P822" s="675"/>
      <c r="Q822" s="675"/>
      <c r="R822" s="675"/>
      <c r="S822" s="675"/>
      <c r="T822" s="675"/>
      <c r="U822" s="8"/>
      <c r="V822" s="8"/>
      <c r="W822" s="8"/>
      <c r="X822" s="8"/>
      <c r="Y822" s="8"/>
      <c r="Z822" s="8"/>
      <c r="AA822" s="8"/>
      <c r="AB822" s="8"/>
      <c r="AC822" s="8"/>
    </row>
    <row r="823" ht="12.75" customHeight="1" spans="1:29" x14ac:dyDescent="0.25">
      <c r="A823" s="8"/>
      <c r="B823" s="8"/>
      <c r="C823" s="8"/>
      <c r="D823" s="8"/>
      <c r="E823" s="8"/>
      <c r="F823" s="8"/>
      <c r="G823" s="8"/>
      <c r="H823" s="675"/>
      <c r="I823" s="675"/>
      <c r="J823" s="675"/>
      <c r="K823" s="675"/>
      <c r="L823" s="675"/>
      <c r="M823" s="675"/>
      <c r="N823" s="675"/>
      <c r="O823" s="675"/>
      <c r="P823" s="675"/>
      <c r="Q823" s="675"/>
      <c r="R823" s="675"/>
      <c r="S823" s="675"/>
      <c r="T823" s="675"/>
      <c r="U823" s="8"/>
      <c r="V823" s="8"/>
      <c r="W823" s="8"/>
      <c r="X823" s="8"/>
      <c r="Y823" s="8"/>
      <c r="Z823" s="8"/>
      <c r="AA823" s="8"/>
      <c r="AB823" s="8"/>
      <c r="AC823" s="8"/>
    </row>
    <row r="824" ht="12.75" customHeight="1" spans="1:29" x14ac:dyDescent="0.25">
      <c r="A824" s="8"/>
      <c r="B824" s="8"/>
      <c r="C824" s="8"/>
      <c r="D824" s="8"/>
      <c r="E824" s="8"/>
      <c r="F824" s="8"/>
      <c r="G824" s="8"/>
      <c r="H824" s="675"/>
      <c r="I824" s="675"/>
      <c r="J824" s="675"/>
      <c r="K824" s="675"/>
      <c r="L824" s="675"/>
      <c r="M824" s="675"/>
      <c r="N824" s="675"/>
      <c r="O824" s="675"/>
      <c r="P824" s="675"/>
      <c r="Q824" s="675"/>
      <c r="R824" s="675"/>
      <c r="S824" s="675"/>
      <c r="T824" s="675"/>
      <c r="U824" s="8"/>
      <c r="V824" s="8"/>
      <c r="W824" s="8"/>
      <c r="X824" s="8"/>
      <c r="Y824" s="8"/>
      <c r="Z824" s="8"/>
      <c r="AA824" s="8"/>
      <c r="AB824" s="8"/>
      <c r="AC824" s="8"/>
    </row>
    <row r="825" ht="12.75" customHeight="1" spans="1:29" x14ac:dyDescent="0.25">
      <c r="A825" s="8"/>
      <c r="B825" s="8"/>
      <c r="C825" s="8"/>
      <c r="D825" s="8"/>
      <c r="E825" s="8"/>
      <c r="F825" s="8"/>
      <c r="G825" s="8"/>
      <c r="H825" s="675"/>
      <c r="I825" s="675"/>
      <c r="J825" s="675"/>
      <c r="K825" s="675"/>
      <c r="L825" s="675"/>
      <c r="M825" s="675"/>
      <c r="N825" s="675"/>
      <c r="O825" s="675"/>
      <c r="P825" s="675"/>
      <c r="Q825" s="675"/>
      <c r="R825" s="675"/>
      <c r="S825" s="675"/>
      <c r="T825" s="675"/>
      <c r="U825" s="8"/>
      <c r="V825" s="8"/>
      <c r="W825" s="8"/>
      <c r="X825" s="8"/>
      <c r="Y825" s="8"/>
      <c r="Z825" s="8"/>
      <c r="AA825" s="8"/>
      <c r="AB825" s="8"/>
      <c r="AC825" s="8"/>
    </row>
    <row r="826" ht="12.75" customHeight="1" spans="1:29" x14ac:dyDescent="0.25">
      <c r="A826" s="8"/>
      <c r="B826" s="8"/>
      <c r="C826" s="8"/>
      <c r="D826" s="8"/>
      <c r="E826" s="8"/>
      <c r="F826" s="8"/>
      <c r="G826" s="8"/>
      <c r="H826" s="675"/>
      <c r="I826" s="675"/>
      <c r="J826" s="675"/>
      <c r="K826" s="675"/>
      <c r="L826" s="675"/>
      <c r="M826" s="675"/>
      <c r="N826" s="675"/>
      <c r="O826" s="675"/>
      <c r="P826" s="675"/>
      <c r="Q826" s="675"/>
      <c r="R826" s="675"/>
      <c r="S826" s="675"/>
      <c r="T826" s="675"/>
      <c r="U826" s="8"/>
      <c r="V826" s="8"/>
      <c r="W826" s="8"/>
      <c r="X826" s="8"/>
      <c r="Y826" s="8"/>
      <c r="Z826" s="8"/>
      <c r="AA826" s="8"/>
      <c r="AB826" s="8"/>
      <c r="AC826" s="8"/>
    </row>
    <row r="827" ht="12.75" customHeight="1" spans="1:29" x14ac:dyDescent="0.25">
      <c r="A827" s="8"/>
      <c r="B827" s="8"/>
      <c r="C827" s="8"/>
      <c r="D827" s="8"/>
      <c r="E827" s="8"/>
      <c r="F827" s="8"/>
      <c r="G827" s="8"/>
      <c r="H827" s="675"/>
      <c r="I827" s="675"/>
      <c r="J827" s="675"/>
      <c r="K827" s="675"/>
      <c r="L827" s="675"/>
      <c r="M827" s="675"/>
      <c r="N827" s="675"/>
      <c r="O827" s="675"/>
      <c r="P827" s="675"/>
      <c r="Q827" s="675"/>
      <c r="R827" s="675"/>
      <c r="S827" s="675"/>
      <c r="T827" s="675"/>
      <c r="U827" s="8"/>
      <c r="V827" s="8"/>
      <c r="W827" s="8"/>
      <c r="X827" s="8"/>
      <c r="Y827" s="8"/>
      <c r="Z827" s="8"/>
      <c r="AA827" s="8"/>
      <c r="AB827" s="8"/>
      <c r="AC827" s="8"/>
    </row>
    <row r="828" ht="12.75" customHeight="1" spans="1:29" x14ac:dyDescent="0.25">
      <c r="A828" s="8"/>
      <c r="B828" s="8"/>
      <c r="C828" s="8"/>
      <c r="D828" s="8"/>
      <c r="E828" s="8"/>
      <c r="F828" s="8"/>
      <c r="G828" s="8"/>
      <c r="H828" s="675"/>
      <c r="I828" s="675"/>
      <c r="J828" s="675"/>
      <c r="K828" s="675"/>
      <c r="L828" s="675"/>
      <c r="M828" s="675"/>
      <c r="N828" s="675"/>
      <c r="O828" s="675"/>
      <c r="P828" s="675"/>
      <c r="Q828" s="675"/>
      <c r="R828" s="675"/>
      <c r="S828" s="675"/>
      <c r="T828" s="675"/>
      <c r="U828" s="8"/>
      <c r="V828" s="8"/>
      <c r="W828" s="8"/>
      <c r="X828" s="8"/>
      <c r="Y828" s="8"/>
      <c r="Z828" s="8"/>
      <c r="AA828" s="8"/>
      <c r="AB828" s="8"/>
      <c r="AC828" s="8"/>
    </row>
    <row r="829" ht="12.75" customHeight="1" spans="1:29" x14ac:dyDescent="0.25">
      <c r="A829" s="8"/>
      <c r="B829" s="8"/>
      <c r="C829" s="8"/>
      <c r="D829" s="8"/>
      <c r="E829" s="8"/>
      <c r="F829" s="8"/>
      <c r="G829" s="8"/>
      <c r="H829" s="675"/>
      <c r="I829" s="675"/>
      <c r="J829" s="675"/>
      <c r="K829" s="675"/>
      <c r="L829" s="675"/>
      <c r="M829" s="675"/>
      <c r="N829" s="675"/>
      <c r="O829" s="675"/>
      <c r="P829" s="675"/>
      <c r="Q829" s="675"/>
      <c r="R829" s="675"/>
      <c r="S829" s="675"/>
      <c r="T829" s="675"/>
      <c r="U829" s="8"/>
      <c r="V829" s="8"/>
      <c r="W829" s="8"/>
      <c r="X829" s="8"/>
      <c r="Y829" s="8"/>
      <c r="Z829" s="8"/>
      <c r="AA829" s="8"/>
      <c r="AB829" s="8"/>
      <c r="AC829" s="8"/>
    </row>
    <row r="830" ht="12.75" customHeight="1" spans="1:29" x14ac:dyDescent="0.25">
      <c r="A830" s="8"/>
      <c r="B830" s="8"/>
      <c r="C830" s="8"/>
      <c r="D830" s="8"/>
      <c r="E830" s="8"/>
      <c r="F830" s="8"/>
      <c r="G830" s="8"/>
      <c r="H830" s="675"/>
      <c r="I830" s="675"/>
      <c r="J830" s="675"/>
      <c r="K830" s="675"/>
      <c r="L830" s="675"/>
      <c r="M830" s="675"/>
      <c r="N830" s="675"/>
      <c r="O830" s="675"/>
      <c r="P830" s="675"/>
      <c r="Q830" s="675"/>
      <c r="R830" s="675"/>
      <c r="S830" s="675"/>
      <c r="T830" s="675"/>
      <c r="U830" s="8"/>
      <c r="V830" s="8"/>
      <c r="W830" s="8"/>
      <c r="X830" s="8"/>
      <c r="Y830" s="8"/>
      <c r="Z830" s="8"/>
      <c r="AA830" s="8"/>
      <c r="AB830" s="8"/>
      <c r="AC830" s="8"/>
    </row>
    <row r="831" ht="12.75" customHeight="1" spans="1:29" x14ac:dyDescent="0.25">
      <c r="A831" s="8"/>
      <c r="B831" s="8"/>
      <c r="C831" s="8"/>
      <c r="D831" s="8"/>
      <c r="E831" s="8"/>
      <c r="F831" s="8"/>
      <c r="G831" s="8"/>
      <c r="H831" s="675"/>
      <c r="I831" s="675"/>
      <c r="J831" s="675"/>
      <c r="K831" s="675"/>
      <c r="L831" s="675"/>
      <c r="M831" s="675"/>
      <c r="N831" s="675"/>
      <c r="O831" s="675"/>
      <c r="P831" s="675"/>
      <c r="Q831" s="675"/>
      <c r="R831" s="675"/>
      <c r="S831" s="675"/>
      <c r="T831" s="675"/>
      <c r="U831" s="8"/>
      <c r="V831" s="8"/>
      <c r="W831" s="8"/>
      <c r="X831" s="8"/>
      <c r="Y831" s="8"/>
      <c r="Z831" s="8"/>
      <c r="AA831" s="8"/>
      <c r="AB831" s="8"/>
      <c r="AC831" s="8"/>
    </row>
    <row r="832" ht="12.75" customHeight="1" spans="1:29" x14ac:dyDescent="0.25">
      <c r="A832" s="8"/>
      <c r="B832" s="8"/>
      <c r="C832" s="8"/>
      <c r="D832" s="8"/>
      <c r="E832" s="8"/>
      <c r="F832" s="8"/>
      <c r="G832" s="8"/>
      <c r="H832" s="675"/>
      <c r="I832" s="675"/>
      <c r="J832" s="675"/>
      <c r="K832" s="675"/>
      <c r="L832" s="675"/>
      <c r="M832" s="675"/>
      <c r="N832" s="675"/>
      <c r="O832" s="675"/>
      <c r="P832" s="675"/>
      <c r="Q832" s="675"/>
      <c r="R832" s="675"/>
      <c r="S832" s="675"/>
      <c r="T832" s="675"/>
      <c r="U832" s="8"/>
      <c r="V832" s="8"/>
      <c r="W832" s="8"/>
      <c r="X832" s="8"/>
      <c r="Y832" s="8"/>
      <c r="Z832" s="8"/>
      <c r="AA832" s="8"/>
      <c r="AB832" s="8"/>
      <c r="AC832" s="8"/>
    </row>
    <row r="833" ht="12.75" customHeight="1" spans="1:29" x14ac:dyDescent="0.25">
      <c r="A833" s="8"/>
      <c r="B833" s="8"/>
      <c r="C833" s="8"/>
      <c r="D833" s="8"/>
      <c r="E833" s="8"/>
      <c r="F833" s="8"/>
      <c r="G833" s="8"/>
      <c r="H833" s="675"/>
      <c r="I833" s="675"/>
      <c r="J833" s="675"/>
      <c r="K833" s="675"/>
      <c r="L833" s="675"/>
      <c r="M833" s="675"/>
      <c r="N833" s="675"/>
      <c r="O833" s="675"/>
      <c r="P833" s="675"/>
      <c r="Q833" s="675"/>
      <c r="R833" s="675"/>
      <c r="S833" s="675"/>
      <c r="T833" s="675"/>
      <c r="U833" s="8"/>
      <c r="V833" s="8"/>
      <c r="W833" s="8"/>
      <c r="X833" s="8"/>
      <c r="Y833" s="8"/>
      <c r="Z833" s="8"/>
      <c r="AA833" s="8"/>
      <c r="AB833" s="8"/>
      <c r="AC833" s="8"/>
    </row>
    <row r="834" ht="12.75" customHeight="1" spans="1:29" x14ac:dyDescent="0.25">
      <c r="A834" s="8"/>
      <c r="B834" s="8"/>
      <c r="C834" s="8"/>
      <c r="D834" s="8"/>
      <c r="E834" s="8"/>
      <c r="F834" s="8"/>
      <c r="G834" s="8"/>
      <c r="H834" s="675"/>
      <c r="I834" s="675"/>
      <c r="J834" s="675"/>
      <c r="K834" s="675"/>
      <c r="L834" s="675"/>
      <c r="M834" s="675"/>
      <c r="N834" s="675"/>
      <c r="O834" s="675"/>
      <c r="P834" s="675"/>
      <c r="Q834" s="675"/>
      <c r="R834" s="675"/>
      <c r="S834" s="675"/>
      <c r="T834" s="675"/>
      <c r="U834" s="8"/>
      <c r="V834" s="8"/>
      <c r="W834" s="8"/>
      <c r="X834" s="8"/>
      <c r="Y834" s="8"/>
      <c r="Z834" s="8"/>
      <c r="AA834" s="8"/>
      <c r="AB834" s="8"/>
      <c r="AC834" s="8"/>
    </row>
    <row r="835" ht="12.75" customHeight="1" spans="1:29" x14ac:dyDescent="0.25">
      <c r="A835" s="8"/>
      <c r="B835" s="8"/>
      <c r="C835" s="8"/>
      <c r="D835" s="8"/>
      <c r="E835" s="8"/>
      <c r="F835" s="8"/>
      <c r="G835" s="8"/>
      <c r="H835" s="675"/>
      <c r="I835" s="675"/>
      <c r="J835" s="675"/>
      <c r="K835" s="675"/>
      <c r="L835" s="675"/>
      <c r="M835" s="675"/>
      <c r="N835" s="675"/>
      <c r="O835" s="675"/>
      <c r="P835" s="675"/>
      <c r="Q835" s="675"/>
      <c r="R835" s="675"/>
      <c r="S835" s="675"/>
      <c r="T835" s="675"/>
      <c r="U835" s="8"/>
      <c r="V835" s="8"/>
      <c r="W835" s="8"/>
      <c r="X835" s="8"/>
      <c r="Y835" s="8"/>
      <c r="Z835" s="8"/>
      <c r="AA835" s="8"/>
      <c r="AB835" s="8"/>
      <c r="AC835" s="8"/>
    </row>
    <row r="836" ht="12.75" customHeight="1" spans="1:29" x14ac:dyDescent="0.25">
      <c r="A836" s="8"/>
      <c r="B836" s="8"/>
      <c r="C836" s="8"/>
      <c r="D836" s="8"/>
      <c r="E836" s="8"/>
      <c r="F836" s="8"/>
      <c r="G836" s="8"/>
      <c r="H836" s="675"/>
      <c r="I836" s="675"/>
      <c r="J836" s="675"/>
      <c r="K836" s="675"/>
      <c r="L836" s="675"/>
      <c r="M836" s="675"/>
      <c r="N836" s="675"/>
      <c r="O836" s="675"/>
      <c r="P836" s="675"/>
      <c r="Q836" s="675"/>
      <c r="R836" s="675"/>
      <c r="S836" s="675"/>
      <c r="T836" s="675"/>
      <c r="U836" s="8"/>
      <c r="V836" s="8"/>
      <c r="W836" s="8"/>
      <c r="X836" s="8"/>
      <c r="Y836" s="8"/>
      <c r="Z836" s="8"/>
      <c r="AA836" s="8"/>
      <c r="AB836" s="8"/>
      <c r="AC836" s="8"/>
    </row>
    <row r="837" ht="12.75" customHeight="1" spans="1:29" x14ac:dyDescent="0.25">
      <c r="A837" s="8"/>
      <c r="B837" s="8"/>
      <c r="C837" s="8"/>
      <c r="D837" s="8"/>
      <c r="E837" s="8"/>
      <c r="F837" s="8"/>
      <c r="G837" s="8"/>
      <c r="H837" s="675"/>
      <c r="I837" s="675"/>
      <c r="J837" s="675"/>
      <c r="K837" s="675"/>
      <c r="L837" s="675"/>
      <c r="M837" s="675"/>
      <c r="N837" s="675"/>
      <c r="O837" s="675"/>
      <c r="P837" s="675"/>
      <c r="Q837" s="675"/>
      <c r="R837" s="675"/>
      <c r="S837" s="675"/>
      <c r="T837" s="675"/>
      <c r="U837" s="8"/>
      <c r="V837" s="8"/>
      <c r="W837" s="8"/>
      <c r="X837" s="8"/>
      <c r="Y837" s="8"/>
      <c r="Z837" s="8"/>
      <c r="AA837" s="8"/>
      <c r="AB837" s="8"/>
      <c r="AC837" s="8"/>
    </row>
    <row r="838" ht="12.75" customHeight="1" spans="1:29" x14ac:dyDescent="0.25">
      <c r="A838" s="8"/>
      <c r="B838" s="8"/>
      <c r="C838" s="8"/>
      <c r="D838" s="8"/>
      <c r="E838" s="8"/>
      <c r="F838" s="8"/>
      <c r="G838" s="8"/>
      <c r="H838" s="675"/>
      <c r="I838" s="675"/>
      <c r="J838" s="675"/>
      <c r="K838" s="675"/>
      <c r="L838" s="675"/>
      <c r="M838" s="675"/>
      <c r="N838" s="675"/>
      <c r="O838" s="675"/>
      <c r="P838" s="675"/>
      <c r="Q838" s="675"/>
      <c r="R838" s="675"/>
      <c r="S838" s="675"/>
      <c r="T838" s="675"/>
      <c r="U838" s="8"/>
      <c r="V838" s="8"/>
      <c r="W838" s="8"/>
      <c r="X838" s="8"/>
      <c r="Y838" s="8"/>
      <c r="Z838" s="8"/>
      <c r="AA838" s="8"/>
      <c r="AB838" s="8"/>
      <c r="AC838" s="8"/>
    </row>
    <row r="839" ht="12.75" customHeight="1" spans="1:29" x14ac:dyDescent="0.25">
      <c r="A839" s="8"/>
      <c r="B839" s="8"/>
      <c r="C839" s="8"/>
      <c r="D839" s="8"/>
      <c r="E839" s="8"/>
      <c r="F839" s="8"/>
      <c r="G839" s="8"/>
      <c r="H839" s="675"/>
      <c r="I839" s="675"/>
      <c r="J839" s="675"/>
      <c r="K839" s="675"/>
      <c r="L839" s="675"/>
      <c r="M839" s="675"/>
      <c r="N839" s="675"/>
      <c r="O839" s="675"/>
      <c r="P839" s="675"/>
      <c r="Q839" s="675"/>
      <c r="R839" s="675"/>
      <c r="S839" s="675"/>
      <c r="T839" s="675"/>
      <c r="U839" s="8"/>
      <c r="V839" s="8"/>
      <c r="W839" s="8"/>
      <c r="X839" s="8"/>
      <c r="Y839" s="8"/>
      <c r="Z839" s="8"/>
      <c r="AA839" s="8"/>
      <c r="AB839" s="8"/>
      <c r="AC839" s="8"/>
    </row>
    <row r="840" ht="12.75" customHeight="1" spans="1:29" x14ac:dyDescent="0.25">
      <c r="A840" s="8"/>
      <c r="B840" s="8"/>
      <c r="C840" s="8"/>
      <c r="D840" s="8"/>
      <c r="E840" s="8"/>
      <c r="F840" s="8"/>
      <c r="G840" s="8"/>
      <c r="H840" s="675"/>
      <c r="I840" s="675"/>
      <c r="J840" s="675"/>
      <c r="K840" s="675"/>
      <c r="L840" s="675"/>
      <c r="M840" s="675"/>
      <c r="N840" s="675"/>
      <c r="O840" s="675"/>
      <c r="P840" s="675"/>
      <c r="Q840" s="675"/>
      <c r="R840" s="675"/>
      <c r="S840" s="675"/>
      <c r="T840" s="675"/>
      <c r="U840" s="8"/>
      <c r="V840" s="8"/>
      <c r="W840" s="8"/>
      <c r="X840" s="8"/>
      <c r="Y840" s="8"/>
      <c r="Z840" s="8"/>
      <c r="AA840" s="8"/>
      <c r="AB840" s="8"/>
      <c r="AC840" s="8"/>
    </row>
    <row r="841" ht="12.75" customHeight="1" spans="1:29" x14ac:dyDescent="0.25">
      <c r="A841" s="8"/>
      <c r="B841" s="8"/>
      <c r="C841" s="8"/>
      <c r="D841" s="8"/>
      <c r="E841" s="8"/>
      <c r="F841" s="8"/>
      <c r="G841" s="8"/>
      <c r="H841" s="675"/>
      <c r="I841" s="675"/>
      <c r="J841" s="675"/>
      <c r="K841" s="675"/>
      <c r="L841" s="675"/>
      <c r="M841" s="675"/>
      <c r="N841" s="675"/>
      <c r="O841" s="675"/>
      <c r="P841" s="675"/>
      <c r="Q841" s="675"/>
      <c r="R841" s="675"/>
      <c r="S841" s="675"/>
      <c r="T841" s="675"/>
      <c r="U841" s="8"/>
      <c r="V841" s="8"/>
      <c r="W841" s="8"/>
      <c r="X841" s="8"/>
      <c r="Y841" s="8"/>
      <c r="Z841" s="8"/>
      <c r="AA841" s="8"/>
      <c r="AB841" s="8"/>
      <c r="AC841" s="8"/>
    </row>
    <row r="842" ht="12.75" customHeight="1" spans="1:29" x14ac:dyDescent="0.25">
      <c r="A842" s="8"/>
      <c r="B842" s="8"/>
      <c r="C842" s="8"/>
      <c r="D842" s="8"/>
      <c r="E842" s="8"/>
      <c r="F842" s="8"/>
      <c r="G842" s="8"/>
      <c r="H842" s="675"/>
      <c r="I842" s="675"/>
      <c r="J842" s="675"/>
      <c r="K842" s="675"/>
      <c r="L842" s="675"/>
      <c r="M842" s="675"/>
      <c r="N842" s="675"/>
      <c r="O842" s="675"/>
      <c r="P842" s="675"/>
      <c r="Q842" s="675"/>
      <c r="R842" s="675"/>
      <c r="S842" s="675"/>
      <c r="T842" s="675"/>
      <c r="U842" s="8"/>
      <c r="V842" s="8"/>
      <c r="W842" s="8"/>
      <c r="X842" s="8"/>
      <c r="Y842" s="8"/>
      <c r="Z842" s="8"/>
      <c r="AA842" s="8"/>
      <c r="AB842" s="8"/>
      <c r="AC842" s="8"/>
    </row>
    <row r="843" ht="12.75" customHeight="1" spans="1:29" x14ac:dyDescent="0.25">
      <c r="A843" s="8"/>
      <c r="B843" s="8"/>
      <c r="C843" s="8"/>
      <c r="D843" s="8"/>
      <c r="E843" s="8"/>
      <c r="F843" s="8"/>
      <c r="G843" s="8"/>
      <c r="H843" s="675"/>
      <c r="I843" s="675"/>
      <c r="J843" s="675"/>
      <c r="K843" s="675"/>
      <c r="L843" s="675"/>
      <c r="M843" s="675"/>
      <c r="N843" s="675"/>
      <c r="O843" s="675"/>
      <c r="P843" s="675"/>
      <c r="Q843" s="675"/>
      <c r="R843" s="675"/>
      <c r="S843" s="675"/>
      <c r="T843" s="675"/>
      <c r="U843" s="8"/>
      <c r="V843" s="8"/>
      <c r="W843" s="8"/>
      <c r="X843" s="8"/>
      <c r="Y843" s="8"/>
      <c r="Z843" s="8"/>
      <c r="AA843" s="8"/>
      <c r="AB843" s="8"/>
      <c r="AC843" s="8"/>
    </row>
    <row r="844" ht="12.75" customHeight="1" spans="1:29" x14ac:dyDescent="0.25">
      <c r="A844" s="8"/>
      <c r="B844" s="8"/>
      <c r="C844" s="8"/>
      <c r="D844" s="8"/>
      <c r="E844" s="8"/>
      <c r="F844" s="8"/>
      <c r="G844" s="8"/>
      <c r="H844" s="675"/>
      <c r="I844" s="675"/>
      <c r="J844" s="675"/>
      <c r="K844" s="675"/>
      <c r="L844" s="675"/>
      <c r="M844" s="675"/>
      <c r="N844" s="675"/>
      <c r="O844" s="675"/>
      <c r="P844" s="675"/>
      <c r="Q844" s="675"/>
      <c r="R844" s="675"/>
      <c r="S844" s="675"/>
      <c r="T844" s="675"/>
      <c r="U844" s="8"/>
      <c r="V844" s="8"/>
      <c r="W844" s="8"/>
      <c r="X844" s="8"/>
      <c r="Y844" s="8"/>
      <c r="Z844" s="8"/>
      <c r="AA844" s="8"/>
      <c r="AB844" s="8"/>
      <c r="AC844" s="8"/>
    </row>
    <row r="845" ht="12.75" customHeight="1" spans="1:29" x14ac:dyDescent="0.25">
      <c r="A845" s="8"/>
      <c r="B845" s="8"/>
      <c r="C845" s="8"/>
      <c r="D845" s="8"/>
      <c r="E845" s="8"/>
      <c r="F845" s="8"/>
      <c r="G845" s="8"/>
      <c r="H845" s="675"/>
      <c r="I845" s="675"/>
      <c r="J845" s="675"/>
      <c r="K845" s="675"/>
      <c r="L845" s="675"/>
      <c r="M845" s="675"/>
      <c r="N845" s="675"/>
      <c r="O845" s="675"/>
      <c r="P845" s="675"/>
      <c r="Q845" s="675"/>
      <c r="R845" s="675"/>
      <c r="S845" s="675"/>
      <c r="T845" s="675"/>
      <c r="U845" s="8"/>
      <c r="V845" s="8"/>
      <c r="W845" s="8"/>
      <c r="X845" s="8"/>
      <c r="Y845" s="8"/>
      <c r="Z845" s="8"/>
      <c r="AA845" s="8"/>
      <c r="AB845" s="8"/>
      <c r="AC845" s="8"/>
    </row>
    <row r="846" ht="12.75" customHeight="1" spans="1:29" x14ac:dyDescent="0.25">
      <c r="A846" s="8"/>
      <c r="B846" s="8"/>
      <c r="C846" s="8"/>
      <c r="D846" s="8"/>
      <c r="E846" s="8"/>
      <c r="F846" s="8"/>
      <c r="G846" s="8"/>
      <c r="H846" s="675"/>
      <c r="I846" s="675"/>
      <c r="J846" s="675"/>
      <c r="K846" s="675"/>
      <c r="L846" s="675"/>
      <c r="M846" s="675"/>
      <c r="N846" s="675"/>
      <c r="O846" s="675"/>
      <c r="P846" s="675"/>
      <c r="Q846" s="675"/>
      <c r="R846" s="675"/>
      <c r="S846" s="675"/>
      <c r="T846" s="675"/>
      <c r="U846" s="8"/>
      <c r="V846" s="8"/>
      <c r="W846" s="8"/>
      <c r="X846" s="8"/>
      <c r="Y846" s="8"/>
      <c r="Z846" s="8"/>
      <c r="AA846" s="8"/>
      <c r="AB846" s="8"/>
      <c r="AC846" s="8"/>
    </row>
    <row r="847" ht="12.75" customHeight="1" spans="1:29" x14ac:dyDescent="0.25">
      <c r="A847" s="8"/>
      <c r="B847" s="8"/>
      <c r="C847" s="8"/>
      <c r="D847" s="8"/>
      <c r="E847" s="8"/>
      <c r="F847" s="8"/>
      <c r="G847" s="8"/>
      <c r="H847" s="675"/>
      <c r="I847" s="675"/>
      <c r="J847" s="675"/>
      <c r="K847" s="675"/>
      <c r="L847" s="675"/>
      <c r="M847" s="675"/>
      <c r="N847" s="675"/>
      <c r="O847" s="675"/>
      <c r="P847" s="675"/>
      <c r="Q847" s="675"/>
      <c r="R847" s="675"/>
      <c r="S847" s="675"/>
      <c r="T847" s="675"/>
      <c r="U847" s="8"/>
      <c r="V847" s="8"/>
      <c r="W847" s="8"/>
      <c r="X847" s="8"/>
      <c r="Y847" s="8"/>
      <c r="Z847" s="8"/>
      <c r="AA847" s="8"/>
      <c r="AB847" s="8"/>
      <c r="AC847" s="8"/>
    </row>
    <row r="848" ht="12.75" customHeight="1" spans="1:29" x14ac:dyDescent="0.25">
      <c r="A848" s="8"/>
      <c r="B848" s="8"/>
      <c r="C848" s="8"/>
      <c r="D848" s="8"/>
      <c r="E848" s="8"/>
      <c r="F848" s="8"/>
      <c r="G848" s="8"/>
      <c r="H848" s="675"/>
      <c r="I848" s="675"/>
      <c r="J848" s="675"/>
      <c r="K848" s="675"/>
      <c r="L848" s="675"/>
      <c r="M848" s="675"/>
      <c r="N848" s="675"/>
      <c r="O848" s="675"/>
      <c r="P848" s="675"/>
      <c r="Q848" s="675"/>
      <c r="R848" s="675"/>
      <c r="S848" s="675"/>
      <c r="T848" s="675"/>
      <c r="U848" s="8"/>
      <c r="V848" s="8"/>
      <c r="W848" s="8"/>
      <c r="X848" s="8"/>
      <c r="Y848" s="8"/>
      <c r="Z848" s="8"/>
      <c r="AA848" s="8"/>
      <c r="AB848" s="8"/>
      <c r="AC848" s="8"/>
    </row>
    <row r="849" ht="12.75" customHeight="1" spans="1:29" x14ac:dyDescent="0.25">
      <c r="A849" s="8"/>
      <c r="B849" s="8"/>
      <c r="C849" s="8"/>
      <c r="D849" s="8"/>
      <c r="E849" s="8"/>
      <c r="F849" s="8"/>
      <c r="G849" s="8"/>
      <c r="H849" s="675"/>
      <c r="I849" s="675"/>
      <c r="J849" s="675"/>
      <c r="K849" s="675"/>
      <c r="L849" s="675"/>
      <c r="M849" s="675"/>
      <c r="N849" s="675"/>
      <c r="O849" s="675"/>
      <c r="P849" s="675"/>
      <c r="Q849" s="675"/>
      <c r="R849" s="675"/>
      <c r="S849" s="675"/>
      <c r="T849" s="675"/>
      <c r="U849" s="8"/>
      <c r="V849" s="8"/>
      <c r="W849" s="8"/>
      <c r="X849" s="8"/>
      <c r="Y849" s="8"/>
      <c r="Z849" s="8"/>
      <c r="AA849" s="8"/>
      <c r="AB849" s="8"/>
      <c r="AC849" s="8"/>
    </row>
    <row r="850" ht="12.75" customHeight="1" spans="1:29" x14ac:dyDescent="0.25">
      <c r="A850" s="8"/>
      <c r="B850" s="8"/>
      <c r="C850" s="8"/>
      <c r="D850" s="8"/>
      <c r="E850" s="8"/>
      <c r="F850" s="8"/>
      <c r="G850" s="8"/>
      <c r="H850" s="675"/>
      <c r="I850" s="675"/>
      <c r="J850" s="675"/>
      <c r="K850" s="675"/>
      <c r="L850" s="675"/>
      <c r="M850" s="675"/>
      <c r="N850" s="675"/>
      <c r="O850" s="675"/>
      <c r="P850" s="675"/>
      <c r="Q850" s="675"/>
      <c r="R850" s="675"/>
      <c r="S850" s="675"/>
      <c r="T850" s="675"/>
      <c r="U850" s="8"/>
      <c r="V850" s="8"/>
      <c r="W850" s="8"/>
      <c r="X850" s="8"/>
      <c r="Y850" s="8"/>
      <c r="Z850" s="8"/>
      <c r="AA850" s="8"/>
      <c r="AB850" s="8"/>
      <c r="AC850" s="8"/>
    </row>
    <row r="851" ht="12.75" customHeight="1" spans="1:29" x14ac:dyDescent="0.25">
      <c r="A851" s="8"/>
      <c r="B851" s="8"/>
      <c r="C851" s="8"/>
      <c r="D851" s="8"/>
      <c r="E851" s="8"/>
      <c r="F851" s="8"/>
      <c r="G851" s="8"/>
      <c r="H851" s="675"/>
      <c r="I851" s="675"/>
      <c r="J851" s="675"/>
      <c r="K851" s="675"/>
      <c r="L851" s="675"/>
      <c r="M851" s="675"/>
      <c r="N851" s="675"/>
      <c r="O851" s="675"/>
      <c r="P851" s="675"/>
      <c r="Q851" s="675"/>
      <c r="R851" s="675"/>
      <c r="S851" s="675"/>
      <c r="T851" s="675"/>
      <c r="U851" s="8"/>
      <c r="V851" s="8"/>
      <c r="W851" s="8"/>
      <c r="X851" s="8"/>
      <c r="Y851" s="8"/>
      <c r="Z851" s="8"/>
      <c r="AA851" s="8"/>
      <c r="AB851" s="8"/>
      <c r="AC851" s="8"/>
    </row>
    <row r="852" ht="12.75" customHeight="1" spans="1:29" x14ac:dyDescent="0.25">
      <c r="A852" s="8"/>
      <c r="B852" s="8"/>
      <c r="C852" s="8"/>
      <c r="D852" s="8"/>
      <c r="E852" s="8"/>
      <c r="F852" s="8"/>
      <c r="G852" s="8"/>
      <c r="H852" s="675"/>
      <c r="I852" s="675"/>
      <c r="J852" s="675"/>
      <c r="K852" s="675"/>
      <c r="L852" s="675"/>
      <c r="M852" s="675"/>
      <c r="N852" s="675"/>
      <c r="O852" s="675"/>
      <c r="P852" s="675"/>
      <c r="Q852" s="675"/>
      <c r="R852" s="675"/>
      <c r="S852" s="675"/>
      <c r="T852" s="675"/>
      <c r="U852" s="8"/>
      <c r="V852" s="8"/>
      <c r="W852" s="8"/>
      <c r="X852" s="8"/>
      <c r="Y852" s="8"/>
      <c r="Z852" s="8"/>
      <c r="AA852" s="8"/>
      <c r="AB852" s="8"/>
      <c r="AC852" s="8"/>
    </row>
    <row r="853" ht="12.75" customHeight="1" spans="1:29" x14ac:dyDescent="0.25">
      <c r="A853" s="8"/>
      <c r="B853" s="8"/>
      <c r="C853" s="8"/>
      <c r="D853" s="8"/>
      <c r="E853" s="8"/>
      <c r="F853" s="8"/>
      <c r="G853" s="8"/>
      <c r="H853" s="675"/>
      <c r="I853" s="675"/>
      <c r="J853" s="675"/>
      <c r="K853" s="675"/>
      <c r="L853" s="675"/>
      <c r="M853" s="675"/>
      <c r="N853" s="675"/>
      <c r="O853" s="675"/>
      <c r="P853" s="675"/>
      <c r="Q853" s="675"/>
      <c r="R853" s="675"/>
      <c r="S853" s="675"/>
      <c r="T853" s="675"/>
      <c r="U853" s="8"/>
      <c r="V853" s="8"/>
      <c r="W853" s="8"/>
      <c r="X853" s="8"/>
      <c r="Y853" s="8"/>
      <c r="Z853" s="8"/>
      <c r="AA853" s="8"/>
      <c r="AB853" s="8"/>
      <c r="AC853" s="8"/>
    </row>
    <row r="854" ht="12.75" customHeight="1" spans="1:29" x14ac:dyDescent="0.25">
      <c r="A854" s="8"/>
      <c r="B854" s="8"/>
      <c r="C854" s="8"/>
      <c r="D854" s="8"/>
      <c r="E854" s="8"/>
      <c r="F854" s="8"/>
      <c r="G854" s="8"/>
      <c r="H854" s="675"/>
      <c r="I854" s="675"/>
      <c r="J854" s="675"/>
      <c r="K854" s="675"/>
      <c r="L854" s="675"/>
      <c r="M854" s="675"/>
      <c r="N854" s="675"/>
      <c r="O854" s="675"/>
      <c r="P854" s="675"/>
      <c r="Q854" s="675"/>
      <c r="R854" s="675"/>
      <c r="S854" s="675"/>
      <c r="T854" s="675"/>
      <c r="U854" s="8"/>
      <c r="V854" s="8"/>
      <c r="W854" s="8"/>
      <c r="X854" s="8"/>
      <c r="Y854" s="8"/>
      <c r="Z854" s="8"/>
      <c r="AA854" s="8"/>
      <c r="AB854" s="8"/>
      <c r="AC854" s="8"/>
    </row>
    <row r="855" ht="12.75" customHeight="1" spans="1:29" x14ac:dyDescent="0.25">
      <c r="A855" s="8"/>
      <c r="B855" s="8"/>
      <c r="C855" s="8"/>
      <c r="D855" s="8"/>
      <c r="E855" s="8"/>
      <c r="F855" s="8"/>
      <c r="G855" s="8"/>
      <c r="H855" s="675"/>
      <c r="I855" s="675"/>
      <c r="J855" s="675"/>
      <c r="K855" s="675"/>
      <c r="L855" s="675"/>
      <c r="M855" s="675"/>
      <c r="N855" s="675"/>
      <c r="O855" s="675"/>
      <c r="P855" s="675"/>
      <c r="Q855" s="675"/>
      <c r="R855" s="675"/>
      <c r="S855" s="675"/>
      <c r="T855" s="675"/>
      <c r="U855" s="8"/>
      <c r="V855" s="8"/>
      <c r="W855" s="8"/>
      <c r="X855" s="8"/>
      <c r="Y855" s="8"/>
      <c r="Z855" s="8"/>
      <c r="AA855" s="8"/>
      <c r="AB855" s="8"/>
      <c r="AC855" s="8"/>
    </row>
    <row r="856" ht="12.75" customHeight="1" spans="1:29" x14ac:dyDescent="0.25">
      <c r="A856" s="8"/>
      <c r="B856" s="8"/>
      <c r="C856" s="8"/>
      <c r="D856" s="8"/>
      <c r="E856" s="8"/>
      <c r="F856" s="8"/>
      <c r="G856" s="8"/>
      <c r="H856" s="675"/>
      <c r="I856" s="675"/>
      <c r="J856" s="675"/>
      <c r="K856" s="675"/>
      <c r="L856" s="675"/>
      <c r="M856" s="675"/>
      <c r="N856" s="675"/>
      <c r="O856" s="675"/>
      <c r="P856" s="675"/>
      <c r="Q856" s="675"/>
      <c r="R856" s="675"/>
      <c r="S856" s="675"/>
      <c r="T856" s="675"/>
      <c r="U856" s="8"/>
      <c r="V856" s="8"/>
      <c r="W856" s="8"/>
      <c r="X856" s="8"/>
      <c r="Y856" s="8"/>
      <c r="Z856" s="8"/>
      <c r="AA856" s="8"/>
      <c r="AB856" s="8"/>
      <c r="AC856" s="8"/>
    </row>
    <row r="857" ht="12.75" customHeight="1" spans="1:29" x14ac:dyDescent="0.25">
      <c r="A857" s="8"/>
      <c r="B857" s="8"/>
      <c r="C857" s="8"/>
      <c r="D857" s="8"/>
      <c r="E857" s="8"/>
      <c r="F857" s="8"/>
      <c r="G857" s="8"/>
      <c r="H857" s="675"/>
      <c r="I857" s="675"/>
      <c r="J857" s="675"/>
      <c r="K857" s="675"/>
      <c r="L857" s="675"/>
      <c r="M857" s="675"/>
      <c r="N857" s="675"/>
      <c r="O857" s="675"/>
      <c r="P857" s="675"/>
      <c r="Q857" s="675"/>
      <c r="R857" s="675"/>
      <c r="S857" s="675"/>
      <c r="T857" s="675"/>
      <c r="U857" s="8"/>
      <c r="V857" s="8"/>
      <c r="W857" s="8"/>
      <c r="X857" s="8"/>
      <c r="Y857" s="8"/>
      <c r="Z857" s="8"/>
      <c r="AA857" s="8"/>
      <c r="AB857" s="8"/>
      <c r="AC857" s="8"/>
    </row>
    <row r="858" ht="12.75" customHeight="1" spans="1:29" x14ac:dyDescent="0.25">
      <c r="A858" s="8"/>
      <c r="B858" s="8"/>
      <c r="C858" s="8"/>
      <c r="D858" s="8"/>
      <c r="E858" s="8"/>
      <c r="F858" s="8"/>
      <c r="G858" s="8"/>
      <c r="H858" s="675"/>
      <c r="I858" s="675"/>
      <c r="J858" s="675"/>
      <c r="K858" s="675"/>
      <c r="L858" s="675"/>
      <c r="M858" s="675"/>
      <c r="N858" s="675"/>
      <c r="O858" s="675"/>
      <c r="P858" s="675"/>
      <c r="Q858" s="675"/>
      <c r="R858" s="675"/>
      <c r="S858" s="675"/>
      <c r="T858" s="675"/>
      <c r="U858" s="8"/>
      <c r="V858" s="8"/>
      <c r="W858" s="8"/>
      <c r="X858" s="8"/>
      <c r="Y858" s="8"/>
      <c r="Z858" s="8"/>
      <c r="AA858" s="8"/>
      <c r="AB858" s="8"/>
      <c r="AC858" s="8"/>
    </row>
    <row r="859" ht="12.75" customHeight="1" spans="1:29" x14ac:dyDescent="0.25">
      <c r="A859" s="8"/>
      <c r="B859" s="8"/>
      <c r="C859" s="8"/>
      <c r="D859" s="8"/>
      <c r="E859" s="8"/>
      <c r="F859" s="8"/>
      <c r="G859" s="8"/>
      <c r="H859" s="675"/>
      <c r="I859" s="675"/>
      <c r="J859" s="675"/>
      <c r="K859" s="675"/>
      <c r="L859" s="675"/>
      <c r="M859" s="675"/>
      <c r="N859" s="675"/>
      <c r="O859" s="675"/>
      <c r="P859" s="675"/>
      <c r="Q859" s="675"/>
      <c r="R859" s="675"/>
      <c r="S859" s="675"/>
      <c r="T859" s="675"/>
      <c r="U859" s="8"/>
      <c r="V859" s="8"/>
      <c r="W859" s="8"/>
      <c r="X859" s="8"/>
      <c r="Y859" s="8"/>
      <c r="Z859" s="8"/>
      <c r="AA859" s="8"/>
      <c r="AB859" s="8"/>
      <c r="AC859" s="8"/>
    </row>
    <row r="860" ht="12.75" customHeight="1" spans="1:29" x14ac:dyDescent="0.25">
      <c r="A860" s="8"/>
      <c r="B860" s="8"/>
      <c r="C860" s="8"/>
      <c r="D860" s="8"/>
      <c r="E860" s="8"/>
      <c r="F860" s="8"/>
      <c r="G860" s="8"/>
      <c r="H860" s="675"/>
      <c r="I860" s="675"/>
      <c r="J860" s="675"/>
      <c r="K860" s="675"/>
      <c r="L860" s="675"/>
      <c r="M860" s="675"/>
      <c r="N860" s="675"/>
      <c r="O860" s="675"/>
      <c r="P860" s="675"/>
      <c r="Q860" s="675"/>
      <c r="R860" s="675"/>
      <c r="S860" s="675"/>
      <c r="T860" s="675"/>
      <c r="U860" s="8"/>
      <c r="V860" s="8"/>
      <c r="W860" s="8"/>
      <c r="X860" s="8"/>
      <c r="Y860" s="8"/>
      <c r="Z860" s="8"/>
      <c r="AA860" s="8"/>
      <c r="AB860" s="8"/>
      <c r="AC860" s="8"/>
    </row>
    <row r="861" ht="12.75" customHeight="1" spans="1:29" x14ac:dyDescent="0.25">
      <c r="A861" s="8"/>
      <c r="B861" s="8"/>
      <c r="C861" s="8"/>
      <c r="D861" s="8"/>
      <c r="E861" s="8"/>
      <c r="F861" s="8"/>
      <c r="G861" s="8"/>
      <c r="H861" s="675"/>
      <c r="I861" s="675"/>
      <c r="J861" s="675"/>
      <c r="K861" s="675"/>
      <c r="L861" s="675"/>
      <c r="M861" s="675"/>
      <c r="N861" s="675"/>
      <c r="O861" s="675"/>
      <c r="P861" s="675"/>
      <c r="Q861" s="675"/>
      <c r="R861" s="675"/>
      <c r="S861" s="675"/>
      <c r="T861" s="675"/>
      <c r="U861" s="8"/>
      <c r="V861" s="8"/>
      <c r="W861" s="8"/>
      <c r="X861" s="8"/>
      <c r="Y861" s="8"/>
      <c r="Z861" s="8"/>
      <c r="AA861" s="8"/>
      <c r="AB861" s="8"/>
      <c r="AC861" s="8"/>
    </row>
    <row r="862" ht="12.75" customHeight="1" spans="1:29" x14ac:dyDescent="0.25">
      <c r="A862" s="8"/>
      <c r="B862" s="8"/>
      <c r="C862" s="8"/>
      <c r="D862" s="8"/>
      <c r="E862" s="8"/>
      <c r="F862" s="8"/>
      <c r="G862" s="8"/>
      <c r="H862" s="675"/>
      <c r="I862" s="675"/>
      <c r="J862" s="675"/>
      <c r="K862" s="675"/>
      <c r="L862" s="675"/>
      <c r="M862" s="675"/>
      <c r="N862" s="675"/>
      <c r="O862" s="675"/>
      <c r="P862" s="675"/>
      <c r="Q862" s="675"/>
      <c r="R862" s="675"/>
      <c r="S862" s="675"/>
      <c r="T862" s="675"/>
      <c r="U862" s="8"/>
      <c r="V862" s="8"/>
      <c r="W862" s="8"/>
      <c r="X862" s="8"/>
      <c r="Y862" s="8"/>
      <c r="Z862" s="8"/>
      <c r="AA862" s="8"/>
      <c r="AB862" s="8"/>
      <c r="AC862" s="8"/>
    </row>
    <row r="863" ht="12.75" customHeight="1" spans="1:29" x14ac:dyDescent="0.25">
      <c r="A863" s="8"/>
      <c r="B863" s="8"/>
      <c r="C863" s="8"/>
      <c r="D863" s="8"/>
      <c r="E863" s="8"/>
      <c r="F863" s="8"/>
      <c r="G863" s="8"/>
      <c r="H863" s="675"/>
      <c r="I863" s="675"/>
      <c r="J863" s="675"/>
      <c r="K863" s="675"/>
      <c r="L863" s="675"/>
      <c r="M863" s="675"/>
      <c r="N863" s="675"/>
      <c r="O863" s="675"/>
      <c r="P863" s="675"/>
      <c r="Q863" s="675"/>
      <c r="R863" s="675"/>
      <c r="S863" s="675"/>
      <c r="T863" s="675"/>
      <c r="U863" s="8"/>
      <c r="V863" s="8"/>
      <c r="W863" s="8"/>
      <c r="X863" s="8"/>
      <c r="Y863" s="8"/>
      <c r="Z863" s="8"/>
      <c r="AA863" s="8"/>
      <c r="AB863" s="8"/>
      <c r="AC863" s="8"/>
    </row>
    <row r="864" ht="12.75" customHeight="1" spans="1:29" x14ac:dyDescent="0.25">
      <c r="A864" s="8"/>
      <c r="B864" s="8"/>
      <c r="C864" s="8"/>
      <c r="D864" s="8"/>
      <c r="E864" s="8"/>
      <c r="F864" s="8"/>
      <c r="G864" s="8"/>
      <c r="H864" s="675"/>
      <c r="I864" s="675"/>
      <c r="J864" s="675"/>
      <c r="K864" s="675"/>
      <c r="L864" s="675"/>
      <c r="M864" s="675"/>
      <c r="N864" s="675"/>
      <c r="O864" s="675"/>
      <c r="P864" s="675"/>
      <c r="Q864" s="675"/>
      <c r="R864" s="675"/>
      <c r="S864" s="675"/>
      <c r="T864" s="675"/>
      <c r="U864" s="8"/>
      <c r="V864" s="8"/>
      <c r="W864" s="8"/>
      <c r="X864" s="8"/>
      <c r="Y864" s="8"/>
      <c r="Z864" s="8"/>
      <c r="AA864" s="8"/>
      <c r="AB864" s="8"/>
      <c r="AC864" s="8"/>
    </row>
    <row r="865" ht="12.75" customHeight="1" spans="1:29" x14ac:dyDescent="0.25">
      <c r="A865" s="8"/>
      <c r="B865" s="8"/>
      <c r="C865" s="8"/>
      <c r="D865" s="8"/>
      <c r="E865" s="8"/>
      <c r="F865" s="8"/>
      <c r="G865" s="8"/>
      <c r="H865" s="675"/>
      <c r="I865" s="675"/>
      <c r="J865" s="675"/>
      <c r="K865" s="675"/>
      <c r="L865" s="675"/>
      <c r="M865" s="675"/>
      <c r="N865" s="675"/>
      <c r="O865" s="675"/>
      <c r="P865" s="675"/>
      <c r="Q865" s="675"/>
      <c r="R865" s="675"/>
      <c r="S865" s="675"/>
      <c r="T865" s="675"/>
      <c r="U865" s="8"/>
      <c r="V865" s="8"/>
      <c r="W865" s="8"/>
      <c r="X865" s="8"/>
      <c r="Y865" s="8"/>
      <c r="Z865" s="8"/>
      <c r="AA865" s="8"/>
      <c r="AB865" s="8"/>
      <c r="AC865" s="8"/>
    </row>
    <row r="866" ht="12.75" customHeight="1" spans="1:29" x14ac:dyDescent="0.25">
      <c r="A866" s="8"/>
      <c r="B866" s="8"/>
      <c r="C866" s="8"/>
      <c r="D866" s="8"/>
      <c r="E866" s="8"/>
      <c r="F866" s="8"/>
      <c r="G866" s="8"/>
      <c r="H866" s="675"/>
      <c r="I866" s="675"/>
      <c r="J866" s="675"/>
      <c r="K866" s="675"/>
      <c r="L866" s="675"/>
      <c r="M866" s="675"/>
      <c r="N866" s="675"/>
      <c r="O866" s="675"/>
      <c r="P866" s="675"/>
      <c r="Q866" s="675"/>
      <c r="R866" s="675"/>
      <c r="S866" s="675"/>
      <c r="T866" s="675"/>
      <c r="U866" s="8"/>
      <c r="V866" s="8"/>
      <c r="W866" s="8"/>
      <c r="X866" s="8"/>
      <c r="Y866" s="8"/>
      <c r="Z866" s="8"/>
      <c r="AA866" s="8"/>
      <c r="AB866" s="8"/>
      <c r="AC866" s="8"/>
    </row>
    <row r="867" ht="12.75" customHeight="1" spans="1:29" x14ac:dyDescent="0.25">
      <c r="A867" s="8"/>
      <c r="B867" s="8"/>
      <c r="C867" s="8"/>
      <c r="D867" s="8"/>
      <c r="E867" s="8"/>
      <c r="F867" s="8"/>
      <c r="G867" s="8"/>
      <c r="H867" s="675"/>
      <c r="I867" s="675"/>
      <c r="J867" s="675"/>
      <c r="K867" s="675"/>
      <c r="L867" s="675"/>
      <c r="M867" s="675"/>
      <c r="N867" s="675"/>
      <c r="O867" s="675"/>
      <c r="P867" s="675"/>
      <c r="Q867" s="675"/>
      <c r="R867" s="675"/>
      <c r="S867" s="675"/>
      <c r="T867" s="675"/>
      <c r="U867" s="8"/>
      <c r="V867" s="8"/>
      <c r="W867" s="8"/>
      <c r="X867" s="8"/>
      <c r="Y867" s="8"/>
      <c r="Z867" s="8"/>
      <c r="AA867" s="8"/>
      <c r="AB867" s="8"/>
      <c r="AC867" s="8"/>
    </row>
    <row r="868" ht="12.75" customHeight="1" spans="1:29" x14ac:dyDescent="0.25">
      <c r="A868" s="8"/>
      <c r="B868" s="8"/>
      <c r="C868" s="8"/>
      <c r="D868" s="8"/>
      <c r="E868" s="8"/>
      <c r="F868" s="8"/>
      <c r="G868" s="8"/>
      <c r="H868" s="675"/>
      <c r="I868" s="675"/>
      <c r="J868" s="675"/>
      <c r="K868" s="675"/>
      <c r="L868" s="675"/>
      <c r="M868" s="675"/>
      <c r="N868" s="675"/>
      <c r="O868" s="675"/>
      <c r="P868" s="675"/>
      <c r="Q868" s="675"/>
      <c r="R868" s="675"/>
      <c r="S868" s="675"/>
      <c r="T868" s="675"/>
      <c r="U868" s="8"/>
      <c r="V868" s="8"/>
      <c r="W868" s="8"/>
      <c r="X868" s="8"/>
      <c r="Y868" s="8"/>
      <c r="Z868" s="8"/>
      <c r="AA868" s="8"/>
      <c r="AB868" s="8"/>
      <c r="AC868" s="8"/>
    </row>
    <row r="869" ht="12.75" customHeight="1" spans="1:29" x14ac:dyDescent="0.25">
      <c r="A869" s="8"/>
      <c r="B869" s="8"/>
      <c r="C869" s="8"/>
      <c r="D869" s="8"/>
      <c r="E869" s="8"/>
      <c r="F869" s="8"/>
      <c r="G869" s="8"/>
      <c r="H869" s="675"/>
      <c r="I869" s="675"/>
      <c r="J869" s="675"/>
      <c r="K869" s="675"/>
      <c r="L869" s="675"/>
      <c r="M869" s="675"/>
      <c r="N869" s="675"/>
      <c r="O869" s="675"/>
      <c r="P869" s="675"/>
      <c r="Q869" s="675"/>
      <c r="R869" s="675"/>
      <c r="S869" s="675"/>
      <c r="T869" s="675"/>
      <c r="U869" s="8"/>
      <c r="V869" s="8"/>
      <c r="W869" s="8"/>
      <c r="X869" s="8"/>
      <c r="Y869" s="8"/>
      <c r="Z869" s="8"/>
      <c r="AA869" s="8"/>
      <c r="AB869" s="8"/>
      <c r="AC869" s="8"/>
    </row>
    <row r="870" ht="12.75" customHeight="1" spans="1:29" x14ac:dyDescent="0.25">
      <c r="A870" s="8"/>
      <c r="B870" s="8"/>
      <c r="C870" s="8"/>
      <c r="D870" s="8"/>
      <c r="E870" s="8"/>
      <c r="F870" s="8"/>
      <c r="G870" s="8"/>
      <c r="H870" s="675"/>
      <c r="I870" s="675"/>
      <c r="J870" s="675"/>
      <c r="K870" s="675"/>
      <c r="L870" s="675"/>
      <c r="M870" s="675"/>
      <c r="N870" s="675"/>
      <c r="O870" s="675"/>
      <c r="P870" s="675"/>
      <c r="Q870" s="675"/>
      <c r="R870" s="675"/>
      <c r="S870" s="675"/>
      <c r="T870" s="675"/>
      <c r="U870" s="8"/>
      <c r="V870" s="8"/>
      <c r="W870" s="8"/>
      <c r="X870" s="8"/>
      <c r="Y870" s="8"/>
      <c r="Z870" s="8"/>
      <c r="AA870" s="8"/>
      <c r="AB870" s="8"/>
      <c r="AC870" s="8"/>
    </row>
    <row r="871" ht="12.75" customHeight="1" spans="1:29" x14ac:dyDescent="0.25">
      <c r="A871" s="8"/>
      <c r="B871" s="8"/>
      <c r="C871" s="8"/>
      <c r="D871" s="8"/>
      <c r="E871" s="8"/>
      <c r="F871" s="8"/>
      <c r="G871" s="8"/>
      <c r="H871" s="675"/>
      <c r="I871" s="675"/>
      <c r="J871" s="675"/>
      <c r="K871" s="675"/>
      <c r="L871" s="675"/>
      <c r="M871" s="675"/>
      <c r="N871" s="675"/>
      <c r="O871" s="675"/>
      <c r="P871" s="675"/>
      <c r="Q871" s="675"/>
      <c r="R871" s="675"/>
      <c r="S871" s="675"/>
      <c r="T871" s="675"/>
      <c r="U871" s="8"/>
      <c r="V871" s="8"/>
      <c r="W871" s="8"/>
      <c r="X871" s="8"/>
      <c r="Y871" s="8"/>
      <c r="Z871" s="8"/>
      <c r="AA871" s="8"/>
      <c r="AB871" s="8"/>
      <c r="AC871" s="8"/>
    </row>
    <row r="872" ht="12.75" customHeight="1" spans="1:29" x14ac:dyDescent="0.25">
      <c r="A872" s="8"/>
      <c r="B872" s="8"/>
      <c r="C872" s="8"/>
      <c r="D872" s="8"/>
      <c r="E872" s="8"/>
      <c r="F872" s="8"/>
      <c r="G872" s="8"/>
      <c r="H872" s="675"/>
      <c r="I872" s="675"/>
      <c r="J872" s="675"/>
      <c r="K872" s="675"/>
      <c r="L872" s="675"/>
      <c r="M872" s="675"/>
      <c r="N872" s="675"/>
      <c r="O872" s="675"/>
      <c r="P872" s="675"/>
      <c r="Q872" s="675"/>
      <c r="R872" s="675"/>
      <c r="S872" s="675"/>
      <c r="T872" s="675"/>
      <c r="U872" s="8"/>
      <c r="V872" s="8"/>
      <c r="W872" s="8"/>
      <c r="X872" s="8"/>
      <c r="Y872" s="8"/>
      <c r="Z872" s="8"/>
      <c r="AA872" s="8"/>
      <c r="AB872" s="8"/>
      <c r="AC872" s="8"/>
    </row>
    <row r="873" ht="12.75" customHeight="1" spans="1:29" x14ac:dyDescent="0.25">
      <c r="A873" s="8"/>
      <c r="B873" s="8"/>
      <c r="C873" s="8"/>
      <c r="D873" s="8"/>
      <c r="E873" s="8"/>
      <c r="F873" s="8"/>
      <c r="G873" s="8"/>
      <c r="H873" s="675"/>
      <c r="I873" s="675"/>
      <c r="J873" s="675"/>
      <c r="K873" s="675"/>
      <c r="L873" s="675"/>
      <c r="M873" s="675"/>
      <c r="N873" s="675"/>
      <c r="O873" s="675"/>
      <c r="P873" s="675"/>
      <c r="Q873" s="675"/>
      <c r="R873" s="675"/>
      <c r="S873" s="675"/>
      <c r="T873" s="675"/>
      <c r="U873" s="8"/>
      <c r="V873" s="8"/>
      <c r="W873" s="8"/>
      <c r="X873" s="8"/>
      <c r="Y873" s="8"/>
      <c r="Z873" s="8"/>
      <c r="AA873" s="8"/>
      <c r="AB873" s="8"/>
      <c r="AC873" s="8"/>
    </row>
    <row r="874" ht="12.75" customHeight="1" spans="1:29" x14ac:dyDescent="0.25">
      <c r="A874" s="8"/>
      <c r="B874" s="8"/>
      <c r="C874" s="8"/>
      <c r="D874" s="8"/>
      <c r="E874" s="8"/>
      <c r="F874" s="8"/>
      <c r="G874" s="8"/>
      <c r="H874" s="675"/>
      <c r="I874" s="675"/>
      <c r="J874" s="675"/>
      <c r="K874" s="675"/>
      <c r="L874" s="675"/>
      <c r="M874" s="675"/>
      <c r="N874" s="675"/>
      <c r="O874" s="675"/>
      <c r="P874" s="675"/>
      <c r="Q874" s="675"/>
      <c r="R874" s="675"/>
      <c r="S874" s="675"/>
      <c r="T874" s="675"/>
      <c r="U874" s="8"/>
      <c r="V874" s="8"/>
      <c r="W874" s="8"/>
      <c r="X874" s="8"/>
      <c r="Y874" s="8"/>
      <c r="Z874" s="8"/>
      <c r="AA874" s="8"/>
      <c r="AB874" s="8"/>
      <c r="AC874" s="8"/>
    </row>
    <row r="875" ht="12.75" customHeight="1" spans="1:29" x14ac:dyDescent="0.25">
      <c r="A875" s="8"/>
      <c r="B875" s="8"/>
      <c r="C875" s="8"/>
      <c r="D875" s="8"/>
      <c r="E875" s="8"/>
      <c r="F875" s="8"/>
      <c r="G875" s="8"/>
      <c r="H875" s="675"/>
      <c r="I875" s="675"/>
      <c r="J875" s="675"/>
      <c r="K875" s="675"/>
      <c r="L875" s="675"/>
      <c r="M875" s="675"/>
      <c r="N875" s="675"/>
      <c r="O875" s="675"/>
      <c r="P875" s="675"/>
      <c r="Q875" s="675"/>
      <c r="R875" s="675"/>
      <c r="S875" s="675"/>
      <c r="T875" s="675"/>
      <c r="U875" s="8"/>
      <c r="V875" s="8"/>
      <c r="W875" s="8"/>
      <c r="X875" s="8"/>
      <c r="Y875" s="8"/>
      <c r="Z875" s="8"/>
      <c r="AA875" s="8"/>
      <c r="AB875" s="8"/>
      <c r="AC875" s="8"/>
    </row>
    <row r="876" ht="12.75" customHeight="1" spans="1:29" x14ac:dyDescent="0.25">
      <c r="A876" s="8"/>
      <c r="B876" s="8"/>
      <c r="C876" s="8"/>
      <c r="D876" s="8"/>
      <c r="E876" s="8"/>
      <c r="F876" s="8"/>
      <c r="G876" s="8"/>
      <c r="H876" s="675"/>
      <c r="I876" s="675"/>
      <c r="J876" s="675"/>
      <c r="K876" s="675"/>
      <c r="L876" s="675"/>
      <c r="M876" s="675"/>
      <c r="N876" s="675"/>
      <c r="O876" s="675"/>
      <c r="P876" s="675"/>
      <c r="Q876" s="675"/>
      <c r="R876" s="675"/>
      <c r="S876" s="675"/>
      <c r="T876" s="675"/>
      <c r="U876" s="8"/>
      <c r="V876" s="8"/>
      <c r="W876" s="8"/>
      <c r="X876" s="8"/>
      <c r="Y876" s="8"/>
      <c r="Z876" s="8"/>
      <c r="AA876" s="8"/>
      <c r="AB876" s="8"/>
      <c r="AC876" s="8"/>
    </row>
    <row r="877" ht="12.75" customHeight="1" spans="1:29" x14ac:dyDescent="0.25">
      <c r="A877" s="8"/>
      <c r="B877" s="8"/>
      <c r="C877" s="8"/>
      <c r="D877" s="8"/>
      <c r="E877" s="8"/>
      <c r="F877" s="8"/>
      <c r="G877" s="8"/>
      <c r="H877" s="675"/>
      <c r="I877" s="675"/>
      <c r="J877" s="675"/>
      <c r="K877" s="675"/>
      <c r="L877" s="675"/>
      <c r="M877" s="675"/>
      <c r="N877" s="675"/>
      <c r="O877" s="675"/>
      <c r="P877" s="675"/>
      <c r="Q877" s="675"/>
      <c r="R877" s="675"/>
      <c r="S877" s="675"/>
      <c r="T877" s="675"/>
      <c r="U877" s="8"/>
      <c r="V877" s="8"/>
      <c r="W877" s="8"/>
      <c r="X877" s="8"/>
      <c r="Y877" s="8"/>
      <c r="Z877" s="8"/>
      <c r="AA877" s="8"/>
      <c r="AB877" s="8"/>
      <c r="AC877" s="8"/>
    </row>
    <row r="878" ht="12.75" customHeight="1" spans="1:29" x14ac:dyDescent="0.25">
      <c r="A878" s="8"/>
      <c r="B878" s="8"/>
      <c r="C878" s="8"/>
      <c r="D878" s="8"/>
      <c r="E878" s="8"/>
      <c r="F878" s="8"/>
      <c r="G878" s="8"/>
      <c r="H878" s="675"/>
      <c r="I878" s="675"/>
      <c r="J878" s="675"/>
      <c r="K878" s="675"/>
      <c r="L878" s="675"/>
      <c r="M878" s="675"/>
      <c r="N878" s="675"/>
      <c r="O878" s="675"/>
      <c r="P878" s="675"/>
      <c r="Q878" s="675"/>
      <c r="R878" s="675"/>
      <c r="S878" s="675"/>
      <c r="T878" s="675"/>
      <c r="U878" s="8"/>
      <c r="V878" s="8"/>
      <c r="W878" s="8"/>
      <c r="X878" s="8"/>
      <c r="Y878" s="8"/>
      <c r="Z878" s="8"/>
      <c r="AA878" s="8"/>
      <c r="AB878" s="8"/>
      <c r="AC878" s="8"/>
    </row>
    <row r="879" ht="12.75" customHeight="1" spans="1:29" x14ac:dyDescent="0.25">
      <c r="A879" s="8"/>
      <c r="B879" s="8"/>
      <c r="C879" s="8"/>
      <c r="D879" s="8"/>
      <c r="E879" s="8"/>
      <c r="F879" s="8"/>
      <c r="G879" s="8"/>
      <c r="H879" s="675"/>
      <c r="I879" s="675"/>
      <c r="J879" s="675"/>
      <c r="K879" s="675"/>
      <c r="L879" s="675"/>
      <c r="M879" s="675"/>
      <c r="N879" s="675"/>
      <c r="O879" s="675"/>
      <c r="P879" s="675"/>
      <c r="Q879" s="675"/>
      <c r="R879" s="675"/>
      <c r="S879" s="675"/>
      <c r="T879" s="675"/>
      <c r="U879" s="8"/>
      <c r="V879" s="8"/>
      <c r="W879" s="8"/>
      <c r="X879" s="8"/>
      <c r="Y879" s="8"/>
      <c r="Z879" s="8"/>
      <c r="AA879" s="8"/>
      <c r="AB879" s="8"/>
      <c r="AC879" s="8"/>
    </row>
    <row r="880" ht="12.75" customHeight="1" spans="1:29" x14ac:dyDescent="0.25">
      <c r="A880" s="8"/>
      <c r="B880" s="8"/>
      <c r="C880" s="8"/>
      <c r="D880" s="8"/>
      <c r="E880" s="8"/>
      <c r="F880" s="8"/>
      <c r="G880" s="8"/>
      <c r="H880" s="675"/>
      <c r="I880" s="675"/>
      <c r="J880" s="675"/>
      <c r="K880" s="675"/>
      <c r="L880" s="675"/>
      <c r="M880" s="675"/>
      <c r="N880" s="675"/>
      <c r="O880" s="675"/>
      <c r="P880" s="675"/>
      <c r="Q880" s="675"/>
      <c r="R880" s="675"/>
      <c r="S880" s="675"/>
      <c r="T880" s="675"/>
      <c r="U880" s="8"/>
      <c r="V880" s="8"/>
      <c r="W880" s="8"/>
      <c r="X880" s="8"/>
      <c r="Y880" s="8"/>
      <c r="Z880" s="8"/>
      <c r="AA880" s="8"/>
      <c r="AB880" s="8"/>
      <c r="AC880" s="8"/>
    </row>
    <row r="881" ht="12.75" customHeight="1" spans="1:29" x14ac:dyDescent="0.25">
      <c r="A881" s="8"/>
      <c r="B881" s="8"/>
      <c r="C881" s="8"/>
      <c r="D881" s="8"/>
      <c r="E881" s="8"/>
      <c r="F881" s="8"/>
      <c r="G881" s="8"/>
      <c r="H881" s="675"/>
      <c r="I881" s="675"/>
      <c r="J881" s="675"/>
      <c r="K881" s="675"/>
      <c r="L881" s="675"/>
      <c r="M881" s="675"/>
      <c r="N881" s="675"/>
      <c r="O881" s="675"/>
      <c r="P881" s="675"/>
      <c r="Q881" s="675"/>
      <c r="R881" s="675"/>
      <c r="S881" s="675"/>
      <c r="T881" s="675"/>
      <c r="U881" s="8"/>
      <c r="V881" s="8"/>
      <c r="W881" s="8"/>
      <c r="X881" s="8"/>
      <c r="Y881" s="8"/>
      <c r="Z881" s="8"/>
      <c r="AA881" s="8"/>
      <c r="AB881" s="8"/>
      <c r="AC881" s="8"/>
    </row>
    <row r="882" ht="12.75" customHeight="1" spans="1:29" x14ac:dyDescent="0.25">
      <c r="A882" s="8"/>
      <c r="B882" s="8"/>
      <c r="C882" s="8"/>
      <c r="D882" s="8"/>
      <c r="E882" s="8"/>
      <c r="F882" s="8"/>
      <c r="G882" s="8"/>
      <c r="H882" s="675"/>
      <c r="I882" s="675"/>
      <c r="J882" s="675"/>
      <c r="K882" s="675"/>
      <c r="L882" s="675"/>
      <c r="M882" s="675"/>
      <c r="N882" s="675"/>
      <c r="O882" s="675"/>
      <c r="P882" s="675"/>
      <c r="Q882" s="675"/>
      <c r="R882" s="675"/>
      <c r="S882" s="675"/>
      <c r="T882" s="675"/>
      <c r="U882" s="8"/>
      <c r="V882" s="8"/>
      <c r="W882" s="8"/>
      <c r="X882" s="8"/>
      <c r="Y882" s="8"/>
      <c r="Z882" s="8"/>
      <c r="AA882" s="8"/>
      <c r="AB882" s="8"/>
      <c r="AC882" s="8"/>
    </row>
    <row r="883" ht="12.75" customHeight="1" spans="1:29" x14ac:dyDescent="0.25">
      <c r="A883" s="8"/>
      <c r="B883" s="8"/>
      <c r="C883" s="8"/>
      <c r="D883" s="8"/>
      <c r="E883" s="8"/>
      <c r="F883" s="8"/>
      <c r="G883" s="8"/>
      <c r="H883" s="675"/>
      <c r="I883" s="675"/>
      <c r="J883" s="675"/>
      <c r="K883" s="675"/>
      <c r="L883" s="675"/>
      <c r="M883" s="675"/>
      <c r="N883" s="675"/>
      <c r="O883" s="675"/>
      <c r="P883" s="675"/>
      <c r="Q883" s="675"/>
      <c r="R883" s="675"/>
      <c r="S883" s="675"/>
      <c r="T883" s="675"/>
      <c r="U883" s="8"/>
      <c r="V883" s="8"/>
      <c r="W883" s="8"/>
      <c r="X883" s="8"/>
      <c r="Y883" s="8"/>
      <c r="Z883" s="8"/>
      <c r="AA883" s="8"/>
      <c r="AB883" s="8"/>
      <c r="AC883" s="8"/>
    </row>
    <row r="884" ht="12.75" customHeight="1" spans="1:29" x14ac:dyDescent="0.25">
      <c r="A884" s="8"/>
      <c r="B884" s="8"/>
      <c r="C884" s="8"/>
      <c r="D884" s="8"/>
      <c r="E884" s="8"/>
      <c r="F884" s="8"/>
      <c r="G884" s="8"/>
      <c r="H884" s="675"/>
      <c r="I884" s="675"/>
      <c r="J884" s="675"/>
      <c r="K884" s="675"/>
      <c r="L884" s="675"/>
      <c r="M884" s="675"/>
      <c r="N884" s="675"/>
      <c r="O884" s="675"/>
      <c r="P884" s="675"/>
      <c r="Q884" s="675"/>
      <c r="R884" s="675"/>
      <c r="S884" s="675"/>
      <c r="T884" s="675"/>
      <c r="U884" s="8"/>
      <c r="V884" s="8"/>
      <c r="W884" s="8"/>
      <c r="X884" s="8"/>
      <c r="Y884" s="8"/>
      <c r="Z884" s="8"/>
      <c r="AA884" s="8"/>
      <c r="AB884" s="8"/>
      <c r="AC884" s="8"/>
    </row>
    <row r="885" ht="12.75" customHeight="1" spans="1:29" x14ac:dyDescent="0.25">
      <c r="A885" s="8"/>
      <c r="B885" s="8"/>
      <c r="C885" s="8"/>
      <c r="D885" s="8"/>
      <c r="E885" s="8"/>
      <c r="F885" s="8"/>
      <c r="G885" s="8"/>
      <c r="H885" s="675"/>
      <c r="I885" s="675"/>
      <c r="J885" s="675"/>
      <c r="K885" s="675"/>
      <c r="L885" s="675"/>
      <c r="M885" s="675"/>
      <c r="N885" s="675"/>
      <c r="O885" s="675"/>
      <c r="P885" s="675"/>
      <c r="Q885" s="675"/>
      <c r="R885" s="675"/>
      <c r="S885" s="675"/>
      <c r="T885" s="675"/>
      <c r="U885" s="8"/>
      <c r="V885" s="8"/>
      <c r="W885" s="8"/>
      <c r="X885" s="8"/>
      <c r="Y885" s="8"/>
      <c r="Z885" s="8"/>
      <c r="AA885" s="8"/>
      <c r="AB885" s="8"/>
      <c r="AC885" s="8"/>
    </row>
    <row r="886" ht="12.75" customHeight="1" spans="1:29" x14ac:dyDescent="0.25">
      <c r="A886" s="8"/>
      <c r="B886" s="8"/>
      <c r="C886" s="8"/>
      <c r="D886" s="8"/>
      <c r="E886" s="8"/>
      <c r="F886" s="8"/>
      <c r="G886" s="8"/>
      <c r="H886" s="675"/>
      <c r="I886" s="675"/>
      <c r="J886" s="675"/>
      <c r="K886" s="675"/>
      <c r="L886" s="675"/>
      <c r="M886" s="675"/>
      <c r="N886" s="675"/>
      <c r="O886" s="675"/>
      <c r="P886" s="675"/>
      <c r="Q886" s="675"/>
      <c r="R886" s="675"/>
      <c r="S886" s="675"/>
      <c r="T886" s="675"/>
      <c r="U886" s="8"/>
      <c r="V886" s="8"/>
      <c r="W886" s="8"/>
      <c r="X886" s="8"/>
      <c r="Y886" s="8"/>
      <c r="Z886" s="8"/>
      <c r="AA886" s="8"/>
      <c r="AB886" s="8"/>
      <c r="AC886" s="8"/>
    </row>
    <row r="887" ht="12.75" customHeight="1" spans="1:29" x14ac:dyDescent="0.25">
      <c r="A887" s="8"/>
      <c r="B887" s="8"/>
      <c r="C887" s="8"/>
      <c r="D887" s="8"/>
      <c r="E887" s="8"/>
      <c r="F887" s="8"/>
      <c r="G887" s="8"/>
      <c r="H887" s="675"/>
      <c r="I887" s="675"/>
      <c r="J887" s="675"/>
      <c r="K887" s="675"/>
      <c r="L887" s="675"/>
      <c r="M887" s="675"/>
      <c r="N887" s="675"/>
      <c r="O887" s="675"/>
      <c r="P887" s="675"/>
      <c r="Q887" s="675"/>
      <c r="R887" s="675"/>
      <c r="S887" s="675"/>
      <c r="T887" s="675"/>
      <c r="U887" s="8"/>
      <c r="V887" s="8"/>
      <c r="W887" s="8"/>
      <c r="X887" s="8"/>
      <c r="Y887" s="8"/>
      <c r="Z887" s="8"/>
      <c r="AA887" s="8"/>
      <c r="AB887" s="8"/>
      <c r="AC887" s="8"/>
    </row>
    <row r="888" ht="12.75" customHeight="1" spans="1:29" x14ac:dyDescent="0.25">
      <c r="A888" s="8"/>
      <c r="B888" s="8"/>
      <c r="C888" s="8"/>
      <c r="D888" s="8"/>
      <c r="E888" s="8"/>
      <c r="F888" s="8"/>
      <c r="G888" s="8"/>
      <c r="H888" s="675"/>
      <c r="I888" s="675"/>
      <c r="J888" s="675"/>
      <c r="K888" s="675"/>
      <c r="L888" s="675"/>
      <c r="M888" s="675"/>
      <c r="N888" s="675"/>
      <c r="O888" s="675"/>
      <c r="P888" s="675"/>
      <c r="Q888" s="675"/>
      <c r="R888" s="675"/>
      <c r="S888" s="675"/>
      <c r="T888" s="675"/>
      <c r="U888" s="8"/>
      <c r="V888" s="8"/>
      <c r="W888" s="8"/>
      <c r="X888" s="8"/>
      <c r="Y888" s="8"/>
      <c r="Z888" s="8"/>
      <c r="AA888" s="8"/>
      <c r="AB888" s="8"/>
      <c r="AC888" s="8"/>
    </row>
    <row r="889" ht="12.75" customHeight="1" spans="1:29" x14ac:dyDescent="0.25">
      <c r="A889" s="8"/>
      <c r="B889" s="8"/>
      <c r="C889" s="8"/>
      <c r="D889" s="8"/>
      <c r="E889" s="8"/>
      <c r="F889" s="8"/>
      <c r="G889" s="8"/>
      <c r="H889" s="675"/>
      <c r="I889" s="675"/>
      <c r="J889" s="675"/>
      <c r="K889" s="675"/>
      <c r="L889" s="675"/>
      <c r="M889" s="675"/>
      <c r="N889" s="675"/>
      <c r="O889" s="675"/>
      <c r="P889" s="675"/>
      <c r="Q889" s="675"/>
      <c r="R889" s="675"/>
      <c r="S889" s="675"/>
      <c r="T889" s="675"/>
      <c r="U889" s="8"/>
      <c r="V889" s="8"/>
      <c r="W889" s="8"/>
      <c r="X889" s="8"/>
      <c r="Y889" s="8"/>
      <c r="Z889" s="8"/>
      <c r="AA889" s="8"/>
      <c r="AB889" s="8"/>
      <c r="AC889" s="8"/>
    </row>
    <row r="890" ht="12.75" customHeight="1" spans="1:29" x14ac:dyDescent="0.25">
      <c r="A890" s="8"/>
      <c r="B890" s="8"/>
      <c r="C890" s="8"/>
      <c r="D890" s="8"/>
      <c r="E890" s="8"/>
      <c r="F890" s="8"/>
      <c r="G890" s="8"/>
      <c r="H890" s="675"/>
      <c r="I890" s="675"/>
      <c r="J890" s="675"/>
      <c r="K890" s="675"/>
      <c r="L890" s="675"/>
      <c r="M890" s="675"/>
      <c r="N890" s="675"/>
      <c r="O890" s="675"/>
      <c r="P890" s="675"/>
      <c r="Q890" s="675"/>
      <c r="R890" s="675"/>
      <c r="S890" s="675"/>
      <c r="T890" s="675"/>
      <c r="U890" s="8"/>
      <c r="V890" s="8"/>
      <c r="W890" s="8"/>
      <c r="X890" s="8"/>
      <c r="Y890" s="8"/>
      <c r="Z890" s="8"/>
      <c r="AA890" s="8"/>
      <c r="AB890" s="8"/>
      <c r="AC890" s="8"/>
    </row>
    <row r="891" ht="12.75" customHeight="1" spans="1:29" x14ac:dyDescent="0.25">
      <c r="A891" s="8"/>
      <c r="B891" s="8"/>
      <c r="C891" s="8"/>
      <c r="D891" s="8"/>
      <c r="E891" s="8"/>
      <c r="F891" s="8"/>
      <c r="G891" s="8"/>
      <c r="H891" s="675"/>
      <c r="I891" s="675"/>
      <c r="J891" s="675"/>
      <c r="K891" s="675"/>
      <c r="L891" s="675"/>
      <c r="M891" s="675"/>
      <c r="N891" s="675"/>
      <c r="O891" s="675"/>
      <c r="P891" s="675"/>
      <c r="Q891" s="675"/>
      <c r="R891" s="675"/>
      <c r="S891" s="675"/>
      <c r="T891" s="675"/>
      <c r="U891" s="8"/>
      <c r="V891" s="8"/>
      <c r="W891" s="8"/>
      <c r="X891" s="8"/>
      <c r="Y891" s="8"/>
      <c r="Z891" s="8"/>
      <c r="AA891" s="8"/>
      <c r="AB891" s="8"/>
      <c r="AC891" s="8"/>
    </row>
    <row r="892" ht="12.75" customHeight="1" spans="1:29" x14ac:dyDescent="0.25">
      <c r="A892" s="8"/>
      <c r="B892" s="8"/>
      <c r="C892" s="8"/>
      <c r="D892" s="8"/>
      <c r="E892" s="8"/>
      <c r="F892" s="8"/>
      <c r="G892" s="8"/>
      <c r="H892" s="675"/>
      <c r="I892" s="675"/>
      <c r="J892" s="675"/>
      <c r="K892" s="675"/>
      <c r="L892" s="675"/>
      <c r="M892" s="675"/>
      <c r="N892" s="675"/>
      <c r="O892" s="675"/>
      <c r="P892" s="675"/>
      <c r="Q892" s="675"/>
      <c r="R892" s="675"/>
      <c r="S892" s="675"/>
      <c r="T892" s="675"/>
      <c r="U892" s="8"/>
      <c r="V892" s="8"/>
      <c r="W892" s="8"/>
      <c r="X892" s="8"/>
      <c r="Y892" s="8"/>
      <c r="Z892" s="8"/>
      <c r="AA892" s="8"/>
      <c r="AB892" s="8"/>
      <c r="AC892" s="8"/>
    </row>
    <row r="893" ht="12.75" customHeight="1" spans="1:29" x14ac:dyDescent="0.25">
      <c r="A893" s="8"/>
      <c r="B893" s="8"/>
      <c r="C893" s="8"/>
      <c r="D893" s="8"/>
      <c r="E893" s="8"/>
      <c r="F893" s="8"/>
      <c r="G893" s="8"/>
      <c r="H893" s="675"/>
      <c r="I893" s="675"/>
      <c r="J893" s="675"/>
      <c r="K893" s="675"/>
      <c r="L893" s="675"/>
      <c r="M893" s="675"/>
      <c r="N893" s="675"/>
      <c r="O893" s="675"/>
      <c r="P893" s="675"/>
      <c r="Q893" s="675"/>
      <c r="R893" s="675"/>
      <c r="S893" s="675"/>
      <c r="T893" s="675"/>
      <c r="U893" s="8"/>
      <c r="V893" s="8"/>
      <c r="W893" s="8"/>
      <c r="X893" s="8"/>
      <c r="Y893" s="8"/>
      <c r="Z893" s="8"/>
      <c r="AA893" s="8"/>
      <c r="AB893" s="8"/>
      <c r="AC893" s="8"/>
    </row>
    <row r="894" ht="12.75" customHeight="1" spans="1:29" x14ac:dyDescent="0.25">
      <c r="A894" s="8"/>
      <c r="B894" s="8"/>
      <c r="C894" s="8"/>
      <c r="D894" s="8"/>
      <c r="E894" s="8"/>
      <c r="F894" s="8"/>
      <c r="G894" s="8"/>
      <c r="H894" s="675"/>
      <c r="I894" s="675"/>
      <c r="J894" s="675"/>
      <c r="K894" s="675"/>
      <c r="L894" s="675"/>
      <c r="M894" s="675"/>
      <c r="N894" s="675"/>
      <c r="O894" s="675"/>
      <c r="P894" s="675"/>
      <c r="Q894" s="675"/>
      <c r="R894" s="675"/>
      <c r="S894" s="675"/>
      <c r="T894" s="675"/>
      <c r="U894" s="8"/>
      <c r="V894" s="8"/>
      <c r="W894" s="8"/>
      <c r="X894" s="8"/>
      <c r="Y894" s="8"/>
      <c r="Z894" s="8"/>
      <c r="AA894" s="8"/>
      <c r="AB894" s="8"/>
      <c r="AC894" s="8"/>
    </row>
    <row r="895" ht="12.75" customHeight="1" spans="1:29" x14ac:dyDescent="0.25">
      <c r="A895" s="8"/>
      <c r="B895" s="8"/>
      <c r="C895" s="8"/>
      <c r="D895" s="8"/>
      <c r="E895" s="8"/>
      <c r="F895" s="8"/>
      <c r="G895" s="8"/>
      <c r="H895" s="675"/>
      <c r="I895" s="675"/>
      <c r="J895" s="675"/>
      <c r="K895" s="675"/>
      <c r="L895" s="675"/>
      <c r="M895" s="675"/>
      <c r="N895" s="675"/>
      <c r="O895" s="675"/>
      <c r="P895" s="675"/>
      <c r="Q895" s="675"/>
      <c r="R895" s="675"/>
      <c r="S895" s="675"/>
      <c r="T895" s="675"/>
      <c r="U895" s="8"/>
      <c r="V895" s="8"/>
      <c r="W895" s="8"/>
      <c r="X895" s="8"/>
      <c r="Y895" s="8"/>
      <c r="Z895" s="8"/>
      <c r="AA895" s="8"/>
      <c r="AB895" s="8"/>
      <c r="AC895" s="8"/>
    </row>
    <row r="896" ht="12.75" customHeight="1" spans="1:29" x14ac:dyDescent="0.25">
      <c r="A896" s="8"/>
      <c r="B896" s="8"/>
      <c r="C896" s="8"/>
      <c r="D896" s="8"/>
      <c r="E896" s="8"/>
      <c r="F896" s="8"/>
      <c r="G896" s="8"/>
      <c r="H896" s="675"/>
      <c r="I896" s="675"/>
      <c r="J896" s="675"/>
      <c r="K896" s="675"/>
      <c r="L896" s="675"/>
      <c r="M896" s="675"/>
      <c r="N896" s="675"/>
      <c r="O896" s="675"/>
      <c r="P896" s="675"/>
      <c r="Q896" s="675"/>
      <c r="R896" s="675"/>
      <c r="S896" s="675"/>
      <c r="T896" s="675"/>
      <c r="U896" s="8"/>
      <c r="V896" s="8"/>
      <c r="W896" s="8"/>
      <c r="X896" s="8"/>
      <c r="Y896" s="8"/>
      <c r="Z896" s="8"/>
      <c r="AA896" s="8"/>
      <c r="AB896" s="8"/>
      <c r="AC896" s="8"/>
    </row>
    <row r="897" ht="12.75" customHeight="1" spans="1:29" x14ac:dyDescent="0.25">
      <c r="A897" s="8"/>
      <c r="B897" s="8"/>
      <c r="C897" s="8"/>
      <c r="D897" s="8"/>
      <c r="E897" s="8"/>
      <c r="F897" s="8"/>
      <c r="G897" s="8"/>
      <c r="H897" s="675"/>
      <c r="I897" s="675"/>
      <c r="J897" s="675"/>
      <c r="K897" s="675"/>
      <c r="L897" s="675"/>
      <c r="M897" s="675"/>
      <c r="N897" s="675"/>
      <c r="O897" s="675"/>
      <c r="P897" s="675"/>
      <c r="Q897" s="675"/>
      <c r="R897" s="675"/>
      <c r="S897" s="675"/>
      <c r="T897" s="675"/>
      <c r="U897" s="8"/>
      <c r="V897" s="8"/>
      <c r="W897" s="8"/>
      <c r="X897" s="8"/>
      <c r="Y897" s="8"/>
      <c r="Z897" s="8"/>
      <c r="AA897" s="8"/>
      <c r="AB897" s="8"/>
      <c r="AC897" s="8"/>
    </row>
    <row r="898" ht="12.75" customHeight="1" spans="1:29" x14ac:dyDescent="0.25">
      <c r="A898" s="8"/>
      <c r="B898" s="8"/>
      <c r="C898" s="8"/>
      <c r="D898" s="8"/>
      <c r="E898" s="8"/>
      <c r="F898" s="8"/>
      <c r="G898" s="8"/>
      <c r="H898" s="675"/>
      <c r="I898" s="675"/>
      <c r="J898" s="675"/>
      <c r="K898" s="675"/>
      <c r="L898" s="675"/>
      <c r="M898" s="675"/>
      <c r="N898" s="675"/>
      <c r="O898" s="675"/>
      <c r="P898" s="675"/>
      <c r="Q898" s="675"/>
      <c r="R898" s="675"/>
      <c r="S898" s="675"/>
      <c r="T898" s="675"/>
      <c r="U898" s="8"/>
      <c r="V898" s="8"/>
      <c r="W898" s="8"/>
      <c r="X898" s="8"/>
      <c r="Y898" s="8"/>
      <c r="Z898" s="8"/>
      <c r="AA898" s="8"/>
      <c r="AB898" s="8"/>
      <c r="AC898" s="8"/>
    </row>
    <row r="899" ht="12.75" customHeight="1" spans="1:29" x14ac:dyDescent="0.25">
      <c r="A899" s="8"/>
      <c r="B899" s="8"/>
      <c r="C899" s="8"/>
      <c r="D899" s="8"/>
      <c r="E899" s="8"/>
      <c r="F899" s="8"/>
      <c r="G899" s="8"/>
      <c r="H899" s="675"/>
      <c r="I899" s="675"/>
      <c r="J899" s="675"/>
      <c r="K899" s="675"/>
      <c r="L899" s="675"/>
      <c r="M899" s="675"/>
      <c r="N899" s="675"/>
      <c r="O899" s="675"/>
      <c r="P899" s="675"/>
      <c r="Q899" s="675"/>
      <c r="R899" s="675"/>
      <c r="S899" s="675"/>
      <c r="T899" s="675"/>
      <c r="U899" s="8"/>
      <c r="V899" s="8"/>
      <c r="W899" s="8"/>
      <c r="X899" s="8"/>
      <c r="Y899" s="8"/>
      <c r="Z899" s="8"/>
      <c r="AA899" s="8"/>
      <c r="AB899" s="8"/>
      <c r="AC899" s="8"/>
    </row>
    <row r="900" ht="12.75" customHeight="1" spans="1:29" x14ac:dyDescent="0.25">
      <c r="A900" s="8"/>
      <c r="B900" s="8"/>
      <c r="C900" s="8"/>
      <c r="D900" s="8"/>
      <c r="E900" s="8"/>
      <c r="F900" s="8"/>
      <c r="G900" s="8"/>
      <c r="H900" s="675"/>
      <c r="I900" s="675"/>
      <c r="J900" s="675"/>
      <c r="K900" s="675"/>
      <c r="L900" s="675"/>
      <c r="M900" s="675"/>
      <c r="N900" s="675"/>
      <c r="O900" s="675"/>
      <c r="P900" s="675"/>
      <c r="Q900" s="675"/>
      <c r="R900" s="675"/>
      <c r="S900" s="675"/>
      <c r="T900" s="675"/>
      <c r="U900" s="8"/>
      <c r="V900" s="8"/>
      <c r="W900" s="8"/>
      <c r="X900" s="8"/>
      <c r="Y900" s="8"/>
      <c r="Z900" s="8"/>
      <c r="AA900" s="8"/>
      <c r="AB900" s="8"/>
      <c r="AC900" s="8"/>
    </row>
    <row r="901" ht="12.75" customHeight="1" spans="1:29" x14ac:dyDescent="0.25">
      <c r="A901" s="8"/>
      <c r="B901" s="8"/>
      <c r="C901" s="8"/>
      <c r="D901" s="8"/>
      <c r="E901" s="8"/>
      <c r="F901" s="8"/>
      <c r="G901" s="8"/>
      <c r="H901" s="675"/>
      <c r="I901" s="675"/>
      <c r="J901" s="675"/>
      <c r="K901" s="675"/>
      <c r="L901" s="675"/>
      <c r="M901" s="675"/>
      <c r="N901" s="675"/>
      <c r="O901" s="675"/>
      <c r="P901" s="675"/>
      <c r="Q901" s="675"/>
      <c r="R901" s="675"/>
      <c r="S901" s="675"/>
      <c r="T901" s="675"/>
      <c r="U901" s="8"/>
      <c r="V901" s="8"/>
      <c r="W901" s="8"/>
      <c r="X901" s="8"/>
      <c r="Y901" s="8"/>
      <c r="Z901" s="8"/>
      <c r="AA901" s="8"/>
      <c r="AB901" s="8"/>
      <c r="AC901" s="8"/>
    </row>
    <row r="902" ht="12.75" customHeight="1" spans="1:29" x14ac:dyDescent="0.25">
      <c r="A902" s="8"/>
      <c r="B902" s="8"/>
      <c r="C902" s="8"/>
      <c r="D902" s="8"/>
      <c r="E902" s="8"/>
      <c r="F902" s="8"/>
      <c r="G902" s="8"/>
      <c r="H902" s="675"/>
      <c r="I902" s="675"/>
      <c r="J902" s="675"/>
      <c r="K902" s="675"/>
      <c r="L902" s="675"/>
      <c r="M902" s="675"/>
      <c r="N902" s="675"/>
      <c r="O902" s="675"/>
      <c r="P902" s="675"/>
      <c r="Q902" s="675"/>
      <c r="R902" s="675"/>
      <c r="S902" s="675"/>
      <c r="T902" s="675"/>
      <c r="U902" s="8"/>
      <c r="V902" s="8"/>
      <c r="W902" s="8"/>
      <c r="X902" s="8"/>
      <c r="Y902" s="8"/>
      <c r="Z902" s="8"/>
      <c r="AA902" s="8"/>
      <c r="AB902" s="8"/>
      <c r="AC902" s="8"/>
    </row>
    <row r="903" ht="12.75" customHeight="1" spans="1:29" x14ac:dyDescent="0.25">
      <c r="A903" s="8"/>
      <c r="B903" s="8"/>
      <c r="C903" s="8"/>
      <c r="D903" s="8"/>
      <c r="E903" s="8"/>
      <c r="F903" s="8"/>
      <c r="G903" s="8"/>
      <c r="H903" s="675"/>
      <c r="I903" s="675"/>
      <c r="J903" s="675"/>
      <c r="K903" s="675"/>
      <c r="L903" s="675"/>
      <c r="M903" s="675"/>
      <c r="N903" s="675"/>
      <c r="O903" s="675"/>
      <c r="P903" s="675"/>
      <c r="Q903" s="675"/>
      <c r="R903" s="675"/>
      <c r="S903" s="675"/>
      <c r="T903" s="675"/>
      <c r="U903" s="8"/>
      <c r="V903" s="8"/>
      <c r="W903" s="8"/>
      <c r="X903" s="8"/>
      <c r="Y903" s="8"/>
      <c r="Z903" s="8"/>
      <c r="AA903" s="8"/>
      <c r="AB903" s="8"/>
      <c r="AC903" s="8"/>
    </row>
    <row r="904" ht="12.75" customHeight="1" spans="1:29" x14ac:dyDescent="0.25">
      <c r="A904" s="8"/>
      <c r="B904" s="8"/>
      <c r="C904" s="8"/>
      <c r="D904" s="8"/>
      <c r="E904" s="8"/>
      <c r="F904" s="8"/>
      <c r="G904" s="8"/>
      <c r="H904" s="675"/>
      <c r="I904" s="675"/>
      <c r="J904" s="675"/>
      <c r="K904" s="675"/>
      <c r="L904" s="675"/>
      <c r="M904" s="675"/>
      <c r="N904" s="675"/>
      <c r="O904" s="675"/>
      <c r="P904" s="675"/>
      <c r="Q904" s="675"/>
      <c r="R904" s="675"/>
      <c r="S904" s="675"/>
      <c r="T904" s="675"/>
      <c r="U904" s="8"/>
      <c r="V904" s="8"/>
      <c r="W904" s="8"/>
      <c r="X904" s="8"/>
      <c r="Y904" s="8"/>
      <c r="Z904" s="8"/>
      <c r="AA904" s="8"/>
      <c r="AB904" s="8"/>
      <c r="AC904" s="8"/>
    </row>
    <row r="905" ht="12.75" customHeight="1" spans="1:29" x14ac:dyDescent="0.25">
      <c r="A905" s="8"/>
      <c r="B905" s="8"/>
      <c r="C905" s="8"/>
      <c r="D905" s="8"/>
      <c r="E905" s="8"/>
      <c r="F905" s="8"/>
      <c r="G905" s="8"/>
      <c r="H905" s="675"/>
      <c r="I905" s="675"/>
      <c r="J905" s="675"/>
      <c r="K905" s="675"/>
      <c r="L905" s="675"/>
      <c r="M905" s="675"/>
      <c r="N905" s="675"/>
      <c r="O905" s="675"/>
      <c r="P905" s="675"/>
      <c r="Q905" s="675"/>
      <c r="R905" s="675"/>
      <c r="S905" s="675"/>
      <c r="T905" s="675"/>
      <c r="U905" s="8"/>
      <c r="V905" s="8"/>
      <c r="W905" s="8"/>
      <c r="X905" s="8"/>
      <c r="Y905" s="8"/>
      <c r="Z905" s="8"/>
      <c r="AA905" s="8"/>
      <c r="AB905" s="8"/>
      <c r="AC905" s="8"/>
    </row>
    <row r="906" ht="12.75" customHeight="1" spans="1:29" x14ac:dyDescent="0.25">
      <c r="A906" s="8"/>
      <c r="B906" s="8"/>
      <c r="C906" s="8"/>
      <c r="D906" s="8"/>
      <c r="E906" s="8"/>
      <c r="F906" s="8"/>
      <c r="G906" s="8"/>
      <c r="H906" s="675"/>
      <c r="I906" s="675"/>
      <c r="J906" s="675"/>
      <c r="K906" s="675"/>
      <c r="L906" s="675"/>
      <c r="M906" s="675"/>
      <c r="N906" s="675"/>
      <c r="O906" s="675"/>
      <c r="P906" s="675"/>
      <c r="Q906" s="675"/>
      <c r="R906" s="675"/>
      <c r="S906" s="675"/>
      <c r="T906" s="675"/>
      <c r="U906" s="8"/>
      <c r="V906" s="8"/>
      <c r="W906" s="8"/>
      <c r="X906" s="8"/>
      <c r="Y906" s="8"/>
      <c r="Z906" s="8"/>
      <c r="AA906" s="8"/>
      <c r="AB906" s="8"/>
      <c r="AC906" s="8"/>
    </row>
    <row r="907" ht="12.75" customHeight="1" spans="1:29" x14ac:dyDescent="0.25">
      <c r="A907" s="8"/>
      <c r="B907" s="8"/>
      <c r="C907" s="8"/>
      <c r="D907" s="8"/>
      <c r="E907" s="8"/>
      <c r="F907" s="8"/>
      <c r="G907" s="8"/>
      <c r="H907" s="675"/>
      <c r="I907" s="675"/>
      <c r="J907" s="675"/>
      <c r="K907" s="675"/>
      <c r="L907" s="675"/>
      <c r="M907" s="675"/>
      <c r="N907" s="675"/>
      <c r="O907" s="675"/>
      <c r="P907" s="675"/>
      <c r="Q907" s="675"/>
      <c r="R907" s="675"/>
      <c r="S907" s="675"/>
      <c r="T907" s="675"/>
      <c r="U907" s="8"/>
      <c r="V907" s="8"/>
      <c r="W907" s="8"/>
      <c r="X907" s="8"/>
      <c r="Y907" s="8"/>
      <c r="Z907" s="8"/>
      <c r="AA907" s="8"/>
      <c r="AB907" s="8"/>
      <c r="AC907" s="8"/>
    </row>
    <row r="908" ht="12.75" customHeight="1" spans="1:29" x14ac:dyDescent="0.25">
      <c r="A908" s="8"/>
      <c r="B908" s="8"/>
      <c r="C908" s="8"/>
      <c r="D908" s="8"/>
      <c r="E908" s="8"/>
      <c r="F908" s="8"/>
      <c r="G908" s="8"/>
      <c r="H908" s="675"/>
      <c r="I908" s="675"/>
      <c r="J908" s="675"/>
      <c r="K908" s="675"/>
      <c r="L908" s="675"/>
      <c r="M908" s="675"/>
      <c r="N908" s="675"/>
      <c r="O908" s="675"/>
      <c r="P908" s="675"/>
      <c r="Q908" s="675"/>
      <c r="R908" s="675"/>
      <c r="S908" s="675"/>
      <c r="T908" s="675"/>
      <c r="U908" s="8"/>
      <c r="V908" s="8"/>
      <c r="W908" s="8"/>
      <c r="X908" s="8"/>
      <c r="Y908" s="8"/>
      <c r="Z908" s="8"/>
      <c r="AA908" s="8"/>
      <c r="AB908" s="8"/>
      <c r="AC908" s="8"/>
    </row>
    <row r="909" ht="12.75" customHeight="1" spans="1:29" x14ac:dyDescent="0.25">
      <c r="A909" s="8"/>
      <c r="B909" s="8"/>
      <c r="C909" s="8"/>
      <c r="D909" s="8"/>
      <c r="E909" s="8"/>
      <c r="F909" s="8"/>
      <c r="G909" s="8"/>
      <c r="H909" s="675"/>
      <c r="I909" s="675"/>
      <c r="J909" s="675"/>
      <c r="K909" s="675"/>
      <c r="L909" s="675"/>
      <c r="M909" s="675"/>
      <c r="N909" s="675"/>
      <c r="O909" s="675"/>
      <c r="P909" s="675"/>
      <c r="Q909" s="675"/>
      <c r="R909" s="675"/>
      <c r="S909" s="675"/>
      <c r="T909" s="675"/>
      <c r="U909" s="8"/>
      <c r="V909" s="8"/>
      <c r="W909" s="8"/>
      <c r="X909" s="8"/>
      <c r="Y909" s="8"/>
      <c r="Z909" s="8"/>
      <c r="AA909" s="8"/>
      <c r="AB909" s="8"/>
      <c r="AC909" s="8"/>
    </row>
    <row r="910" ht="12.75" customHeight="1" spans="1:29" x14ac:dyDescent="0.25">
      <c r="A910" s="8"/>
      <c r="B910" s="8"/>
      <c r="C910" s="8"/>
      <c r="D910" s="8"/>
      <c r="E910" s="8"/>
      <c r="F910" s="8"/>
      <c r="G910" s="8"/>
      <c r="H910" s="675"/>
      <c r="I910" s="675"/>
      <c r="J910" s="675"/>
      <c r="K910" s="675"/>
      <c r="L910" s="675"/>
      <c r="M910" s="675"/>
      <c r="N910" s="675"/>
      <c r="O910" s="675"/>
      <c r="P910" s="675"/>
      <c r="Q910" s="675"/>
      <c r="R910" s="675"/>
      <c r="S910" s="675"/>
      <c r="T910" s="675"/>
      <c r="U910" s="8"/>
      <c r="V910" s="8"/>
      <c r="W910" s="8"/>
      <c r="X910" s="8"/>
      <c r="Y910" s="8"/>
      <c r="Z910" s="8"/>
      <c r="AA910" s="8"/>
      <c r="AB910" s="8"/>
      <c r="AC910" s="8"/>
    </row>
    <row r="911" ht="12.75" customHeight="1" spans="1:29" x14ac:dyDescent="0.25">
      <c r="A911" s="8"/>
      <c r="B911" s="8"/>
      <c r="C911" s="8"/>
      <c r="D911" s="8"/>
      <c r="E911" s="8"/>
      <c r="F911" s="8"/>
      <c r="G911" s="8"/>
      <c r="H911" s="675"/>
      <c r="I911" s="675"/>
      <c r="J911" s="675"/>
      <c r="K911" s="675"/>
      <c r="L911" s="675"/>
      <c r="M911" s="675"/>
      <c r="N911" s="675"/>
      <c r="O911" s="675"/>
      <c r="P911" s="675"/>
      <c r="Q911" s="675"/>
      <c r="R911" s="675"/>
      <c r="S911" s="675"/>
      <c r="T911" s="675"/>
      <c r="U911" s="8"/>
      <c r="V911" s="8"/>
      <c r="W911" s="8"/>
      <c r="X911" s="8"/>
      <c r="Y911" s="8"/>
      <c r="Z911" s="8"/>
      <c r="AA911" s="8"/>
      <c r="AB911" s="8"/>
      <c r="AC911" s="8"/>
    </row>
    <row r="912" ht="12.75" customHeight="1" spans="1:29" x14ac:dyDescent="0.25">
      <c r="A912" s="8"/>
      <c r="B912" s="8"/>
      <c r="C912" s="8"/>
      <c r="D912" s="8"/>
      <c r="E912" s="8"/>
      <c r="F912" s="8"/>
      <c r="G912" s="8"/>
      <c r="H912" s="675"/>
      <c r="I912" s="675"/>
      <c r="J912" s="675"/>
      <c r="K912" s="675"/>
      <c r="L912" s="675"/>
      <c r="M912" s="675"/>
      <c r="N912" s="675"/>
      <c r="O912" s="675"/>
      <c r="P912" s="675"/>
      <c r="Q912" s="675"/>
      <c r="R912" s="675"/>
      <c r="S912" s="675"/>
      <c r="T912" s="675"/>
      <c r="U912" s="8"/>
      <c r="V912" s="8"/>
      <c r="W912" s="8"/>
      <c r="X912" s="8"/>
      <c r="Y912" s="8"/>
      <c r="Z912" s="8"/>
      <c r="AA912" s="8"/>
      <c r="AB912" s="8"/>
      <c r="AC912" s="8"/>
    </row>
    <row r="913" ht="12.75" customHeight="1" spans="1:29" x14ac:dyDescent="0.25">
      <c r="A913" s="8"/>
      <c r="B913" s="8"/>
      <c r="C913" s="8"/>
      <c r="D913" s="8"/>
      <c r="E913" s="8"/>
      <c r="F913" s="8"/>
      <c r="G913" s="8"/>
      <c r="H913" s="675"/>
      <c r="I913" s="675"/>
      <c r="J913" s="675"/>
      <c r="K913" s="675"/>
      <c r="L913" s="675"/>
      <c r="M913" s="675"/>
      <c r="N913" s="675"/>
      <c r="O913" s="675"/>
      <c r="P913" s="675"/>
      <c r="Q913" s="675"/>
      <c r="R913" s="675"/>
      <c r="S913" s="675"/>
      <c r="T913" s="675"/>
      <c r="U913" s="8"/>
      <c r="V913" s="8"/>
      <c r="W913" s="8"/>
      <c r="X913" s="8"/>
      <c r="Y913" s="8"/>
      <c r="Z913" s="8"/>
      <c r="AA913" s="8"/>
      <c r="AB913" s="8"/>
      <c r="AC913" s="8"/>
    </row>
    <row r="914" ht="12.75" customHeight="1" spans="1:29" x14ac:dyDescent="0.25">
      <c r="A914" s="8"/>
      <c r="B914" s="8"/>
      <c r="C914" s="8"/>
      <c r="D914" s="8"/>
      <c r="E914" s="8"/>
      <c r="F914" s="8"/>
      <c r="G914" s="8"/>
      <c r="H914" s="675"/>
      <c r="I914" s="675"/>
      <c r="J914" s="675"/>
      <c r="K914" s="675"/>
      <c r="L914" s="675"/>
      <c r="M914" s="675"/>
      <c r="N914" s="675"/>
      <c r="O914" s="675"/>
      <c r="P914" s="675"/>
      <c r="Q914" s="675"/>
      <c r="R914" s="675"/>
      <c r="S914" s="675"/>
      <c r="T914" s="675"/>
      <c r="U914" s="8"/>
      <c r="V914" s="8"/>
      <c r="W914" s="8"/>
      <c r="X914" s="8"/>
      <c r="Y914" s="8"/>
      <c r="Z914" s="8"/>
      <c r="AA914" s="8"/>
      <c r="AB914" s="8"/>
      <c r="AC914" s="8"/>
    </row>
    <row r="915" ht="12.75" customHeight="1" spans="1:29" x14ac:dyDescent="0.25">
      <c r="A915" s="8"/>
      <c r="B915" s="8"/>
      <c r="C915" s="8"/>
      <c r="D915" s="8"/>
      <c r="E915" s="8"/>
      <c r="F915" s="8"/>
      <c r="G915" s="8"/>
      <c r="H915" s="675"/>
      <c r="I915" s="675"/>
      <c r="J915" s="675"/>
      <c r="K915" s="675"/>
      <c r="L915" s="675"/>
      <c r="M915" s="675"/>
      <c r="N915" s="675"/>
      <c r="O915" s="675"/>
      <c r="P915" s="675"/>
      <c r="Q915" s="675"/>
      <c r="R915" s="675"/>
      <c r="S915" s="675"/>
      <c r="T915" s="675"/>
      <c r="U915" s="8"/>
      <c r="V915" s="8"/>
      <c r="W915" s="8"/>
      <c r="X915" s="8"/>
      <c r="Y915" s="8"/>
      <c r="Z915" s="8"/>
      <c r="AA915" s="8"/>
      <c r="AB915" s="8"/>
      <c r="AC915" s="8"/>
    </row>
    <row r="916" ht="12.75" customHeight="1" spans="1:29" x14ac:dyDescent="0.25">
      <c r="A916" s="8"/>
      <c r="B916" s="8"/>
      <c r="C916" s="8"/>
      <c r="D916" s="8"/>
      <c r="E916" s="8"/>
      <c r="F916" s="8"/>
      <c r="G916" s="8"/>
      <c r="H916" s="675"/>
      <c r="I916" s="675"/>
      <c r="J916" s="675"/>
      <c r="K916" s="675"/>
      <c r="L916" s="675"/>
      <c r="M916" s="675"/>
      <c r="N916" s="675"/>
      <c r="O916" s="675"/>
      <c r="P916" s="675"/>
      <c r="Q916" s="675"/>
      <c r="R916" s="675"/>
      <c r="S916" s="675"/>
      <c r="T916" s="675"/>
      <c r="U916" s="8"/>
      <c r="V916" s="8"/>
      <c r="W916" s="8"/>
      <c r="X916" s="8"/>
      <c r="Y916" s="8"/>
      <c r="Z916" s="8"/>
      <c r="AA916" s="8"/>
      <c r="AB916" s="8"/>
      <c r="AC916" s="8"/>
    </row>
    <row r="917" ht="12.75" customHeight="1" spans="1:29" x14ac:dyDescent="0.25">
      <c r="A917" s="8"/>
      <c r="B917" s="8"/>
      <c r="C917" s="8"/>
      <c r="D917" s="8"/>
      <c r="E917" s="8"/>
      <c r="F917" s="8"/>
      <c r="G917" s="8"/>
      <c r="H917" s="675"/>
      <c r="I917" s="675"/>
      <c r="J917" s="675"/>
      <c r="K917" s="675"/>
      <c r="L917" s="675"/>
      <c r="M917" s="675"/>
      <c r="N917" s="675"/>
      <c r="O917" s="675"/>
      <c r="P917" s="675"/>
      <c r="Q917" s="675"/>
      <c r="R917" s="675"/>
      <c r="S917" s="675"/>
      <c r="T917" s="675"/>
      <c r="U917" s="8"/>
      <c r="V917" s="8"/>
      <c r="W917" s="8"/>
      <c r="X917" s="8"/>
      <c r="Y917" s="8"/>
      <c r="Z917" s="8"/>
      <c r="AA917" s="8"/>
      <c r="AB917" s="8"/>
      <c r="AC917" s="8"/>
    </row>
    <row r="918" ht="12.75" customHeight="1" spans="1:29" x14ac:dyDescent="0.25">
      <c r="A918" s="8"/>
      <c r="B918" s="8"/>
      <c r="C918" s="8"/>
      <c r="D918" s="8"/>
      <c r="E918" s="8"/>
      <c r="F918" s="8"/>
      <c r="G918" s="8"/>
      <c r="H918" s="675"/>
      <c r="I918" s="675"/>
      <c r="J918" s="675"/>
      <c r="K918" s="675"/>
      <c r="L918" s="675"/>
      <c r="M918" s="675"/>
      <c r="N918" s="675"/>
      <c r="O918" s="675"/>
      <c r="P918" s="675"/>
      <c r="Q918" s="675"/>
      <c r="R918" s="675"/>
      <c r="S918" s="675"/>
      <c r="T918" s="675"/>
      <c r="U918" s="8"/>
      <c r="V918" s="8"/>
      <c r="W918" s="8"/>
      <c r="X918" s="8"/>
      <c r="Y918" s="8"/>
      <c r="Z918" s="8"/>
      <c r="AA918" s="8"/>
      <c r="AB918" s="8"/>
      <c r="AC918" s="8"/>
    </row>
    <row r="919" ht="12.75" customHeight="1" spans="1:29" x14ac:dyDescent="0.25">
      <c r="A919" s="8"/>
      <c r="B919" s="8"/>
      <c r="C919" s="8"/>
      <c r="D919" s="8"/>
      <c r="E919" s="8"/>
      <c r="F919" s="8"/>
      <c r="G919" s="8"/>
      <c r="H919" s="675"/>
      <c r="I919" s="675"/>
      <c r="J919" s="675"/>
      <c r="K919" s="675"/>
      <c r="L919" s="675"/>
      <c r="M919" s="675"/>
      <c r="N919" s="675"/>
      <c r="O919" s="675"/>
      <c r="P919" s="675"/>
      <c r="Q919" s="675"/>
      <c r="R919" s="675"/>
      <c r="S919" s="675"/>
      <c r="T919" s="675"/>
      <c r="U919" s="8"/>
      <c r="V919" s="8"/>
      <c r="W919" s="8"/>
      <c r="X919" s="8"/>
      <c r="Y919" s="8"/>
      <c r="Z919" s="8"/>
      <c r="AA919" s="8"/>
      <c r="AB919" s="8"/>
      <c r="AC919" s="8"/>
    </row>
    <row r="920" ht="12.75" customHeight="1" spans="1:29" x14ac:dyDescent="0.25">
      <c r="A920" s="8"/>
      <c r="B920" s="8"/>
      <c r="C920" s="8"/>
      <c r="D920" s="8"/>
      <c r="E920" s="8"/>
      <c r="F920" s="8"/>
      <c r="G920" s="8"/>
      <c r="H920" s="675"/>
      <c r="I920" s="675"/>
      <c r="J920" s="675"/>
      <c r="K920" s="675"/>
      <c r="L920" s="675"/>
      <c r="M920" s="675"/>
      <c r="N920" s="675"/>
      <c r="O920" s="675"/>
      <c r="P920" s="675"/>
      <c r="Q920" s="675"/>
      <c r="R920" s="675"/>
      <c r="S920" s="675"/>
      <c r="T920" s="675"/>
      <c r="U920" s="8"/>
      <c r="V920" s="8"/>
      <c r="W920" s="8"/>
      <c r="X920" s="8"/>
      <c r="Y920" s="8"/>
      <c r="Z920" s="8"/>
      <c r="AA920" s="8"/>
      <c r="AB920" s="8"/>
      <c r="AC920" s="8"/>
    </row>
    <row r="921" ht="12.75" customHeight="1" spans="1:29" x14ac:dyDescent="0.25">
      <c r="A921" s="8"/>
      <c r="B921" s="8"/>
      <c r="C921" s="8"/>
      <c r="D921" s="8"/>
      <c r="E921" s="8"/>
      <c r="F921" s="8"/>
      <c r="G921" s="8"/>
      <c r="H921" s="675"/>
      <c r="I921" s="675"/>
      <c r="J921" s="675"/>
      <c r="K921" s="675"/>
      <c r="L921" s="675"/>
      <c r="M921" s="675"/>
      <c r="N921" s="675"/>
      <c r="O921" s="675"/>
      <c r="P921" s="675"/>
      <c r="Q921" s="675"/>
      <c r="R921" s="675"/>
      <c r="S921" s="675"/>
      <c r="T921" s="675"/>
      <c r="U921" s="8"/>
      <c r="V921" s="8"/>
      <c r="W921" s="8"/>
      <c r="X921" s="8"/>
      <c r="Y921" s="8"/>
      <c r="Z921" s="8"/>
      <c r="AA921" s="8"/>
      <c r="AB921" s="8"/>
      <c r="AC921" s="8"/>
    </row>
    <row r="922" ht="12.75" customHeight="1" spans="1:29" x14ac:dyDescent="0.25">
      <c r="A922" s="8"/>
      <c r="B922" s="8"/>
      <c r="C922" s="8"/>
      <c r="D922" s="8"/>
      <c r="E922" s="8"/>
      <c r="F922" s="8"/>
      <c r="G922" s="8"/>
      <c r="H922" s="675"/>
      <c r="I922" s="675"/>
      <c r="J922" s="675"/>
      <c r="K922" s="675"/>
      <c r="L922" s="675"/>
      <c r="M922" s="675"/>
      <c r="N922" s="675"/>
      <c r="O922" s="675"/>
      <c r="P922" s="675"/>
      <c r="Q922" s="675"/>
      <c r="R922" s="675"/>
      <c r="S922" s="675"/>
      <c r="T922" s="675"/>
      <c r="U922" s="8"/>
      <c r="V922" s="8"/>
      <c r="W922" s="8"/>
      <c r="X922" s="8"/>
      <c r="Y922" s="8"/>
      <c r="Z922" s="8"/>
      <c r="AA922" s="8"/>
      <c r="AB922" s="8"/>
      <c r="AC922" s="8"/>
    </row>
    <row r="923" ht="12.75" customHeight="1" spans="1:29" x14ac:dyDescent="0.25">
      <c r="A923" s="8"/>
      <c r="B923" s="8"/>
      <c r="C923" s="8"/>
      <c r="D923" s="8"/>
      <c r="E923" s="8"/>
      <c r="F923" s="8"/>
      <c r="G923" s="8"/>
      <c r="H923" s="675"/>
      <c r="I923" s="675"/>
      <c r="J923" s="675"/>
      <c r="K923" s="675"/>
      <c r="L923" s="675"/>
      <c r="M923" s="675"/>
      <c r="N923" s="675"/>
      <c r="O923" s="675"/>
      <c r="P923" s="675"/>
      <c r="Q923" s="675"/>
      <c r="R923" s="675"/>
      <c r="S923" s="675"/>
      <c r="T923" s="675"/>
      <c r="U923" s="8"/>
      <c r="V923" s="8"/>
      <c r="W923" s="8"/>
      <c r="X923" s="8"/>
      <c r="Y923" s="8"/>
      <c r="Z923" s="8"/>
      <c r="AA923" s="8"/>
      <c r="AB923" s="8"/>
      <c r="AC923" s="8"/>
    </row>
    <row r="924" ht="12.75" customHeight="1" spans="1:29" x14ac:dyDescent="0.25">
      <c r="A924" s="8"/>
      <c r="B924" s="8"/>
      <c r="C924" s="8"/>
      <c r="D924" s="8"/>
      <c r="E924" s="8"/>
      <c r="F924" s="8"/>
      <c r="G924" s="8"/>
      <c r="H924" s="675"/>
      <c r="I924" s="675"/>
      <c r="J924" s="675"/>
      <c r="K924" s="675"/>
      <c r="L924" s="675"/>
      <c r="M924" s="675"/>
      <c r="N924" s="675"/>
      <c r="O924" s="675"/>
      <c r="P924" s="675"/>
      <c r="Q924" s="675"/>
      <c r="R924" s="675"/>
      <c r="S924" s="675"/>
      <c r="T924" s="675"/>
      <c r="U924" s="8"/>
      <c r="V924" s="8"/>
      <c r="W924" s="8"/>
      <c r="X924" s="8"/>
      <c r="Y924" s="8"/>
      <c r="Z924" s="8"/>
      <c r="AA924" s="8"/>
      <c r="AB924" s="8"/>
      <c r="AC924" s="8"/>
    </row>
    <row r="925" ht="12.75" customHeight="1" spans="1:29" x14ac:dyDescent="0.25">
      <c r="A925" s="8"/>
      <c r="B925" s="8"/>
      <c r="C925" s="8"/>
      <c r="D925" s="8"/>
      <c r="E925" s="8"/>
      <c r="F925" s="8"/>
      <c r="G925" s="8"/>
      <c r="H925" s="675"/>
      <c r="I925" s="675"/>
      <c r="J925" s="675"/>
      <c r="K925" s="675"/>
      <c r="L925" s="675"/>
      <c r="M925" s="675"/>
      <c r="N925" s="675"/>
      <c r="O925" s="675"/>
      <c r="P925" s="675"/>
      <c r="Q925" s="675"/>
      <c r="R925" s="675"/>
      <c r="S925" s="675"/>
      <c r="T925" s="675"/>
      <c r="U925" s="8"/>
      <c r="V925" s="8"/>
      <c r="W925" s="8"/>
      <c r="X925" s="8"/>
      <c r="Y925" s="8"/>
      <c r="Z925" s="8"/>
      <c r="AA925" s="8"/>
      <c r="AB925" s="8"/>
      <c r="AC925" s="8"/>
    </row>
    <row r="926" ht="12.75" customHeight="1" spans="1:29" x14ac:dyDescent="0.25">
      <c r="A926" s="8"/>
      <c r="B926" s="8"/>
      <c r="C926" s="8"/>
      <c r="D926" s="8"/>
      <c r="E926" s="8"/>
      <c r="F926" s="8"/>
      <c r="G926" s="8"/>
      <c r="H926" s="675"/>
      <c r="I926" s="675"/>
      <c r="J926" s="675"/>
      <c r="K926" s="675"/>
      <c r="L926" s="675"/>
      <c r="M926" s="675"/>
      <c r="N926" s="675"/>
      <c r="O926" s="675"/>
      <c r="P926" s="675"/>
      <c r="Q926" s="675"/>
      <c r="R926" s="675"/>
      <c r="S926" s="675"/>
      <c r="T926" s="675"/>
      <c r="U926" s="8"/>
      <c r="V926" s="8"/>
      <c r="W926" s="8"/>
      <c r="X926" s="8"/>
      <c r="Y926" s="8"/>
      <c r="Z926" s="8"/>
      <c r="AA926" s="8"/>
      <c r="AB926" s="8"/>
      <c r="AC926" s="8"/>
    </row>
    <row r="927" ht="12.75" customHeight="1" spans="1:29" x14ac:dyDescent="0.25">
      <c r="A927" s="8"/>
      <c r="B927" s="8"/>
      <c r="C927" s="8"/>
      <c r="D927" s="8"/>
      <c r="E927" s="8"/>
      <c r="F927" s="8"/>
      <c r="G927" s="8"/>
      <c r="H927" s="675"/>
      <c r="I927" s="675"/>
      <c r="J927" s="675"/>
      <c r="K927" s="675"/>
      <c r="L927" s="675"/>
      <c r="M927" s="675"/>
      <c r="N927" s="675"/>
      <c r="O927" s="675"/>
      <c r="P927" s="675"/>
      <c r="Q927" s="675"/>
      <c r="R927" s="675"/>
      <c r="S927" s="675"/>
      <c r="T927" s="675"/>
      <c r="U927" s="8"/>
      <c r="V927" s="8"/>
      <c r="W927" s="8"/>
      <c r="X927" s="8"/>
      <c r="Y927" s="8"/>
      <c r="Z927" s="8"/>
      <c r="AA927" s="8"/>
      <c r="AB927" s="8"/>
      <c r="AC927" s="8"/>
    </row>
    <row r="928" ht="12.75" customHeight="1" spans="1:29" x14ac:dyDescent="0.25">
      <c r="A928" s="8"/>
      <c r="B928" s="8"/>
      <c r="C928" s="8"/>
      <c r="D928" s="8"/>
      <c r="E928" s="8"/>
      <c r="F928" s="8"/>
      <c r="G928" s="8"/>
      <c r="H928" s="675"/>
      <c r="I928" s="675"/>
      <c r="J928" s="675"/>
      <c r="K928" s="675"/>
      <c r="L928" s="675"/>
      <c r="M928" s="675"/>
      <c r="N928" s="675"/>
      <c r="O928" s="675"/>
      <c r="P928" s="675"/>
      <c r="Q928" s="675"/>
      <c r="R928" s="675"/>
      <c r="S928" s="675"/>
      <c r="T928" s="675"/>
      <c r="U928" s="8"/>
      <c r="V928" s="8"/>
      <c r="W928" s="8"/>
      <c r="X928" s="8"/>
      <c r="Y928" s="8"/>
      <c r="Z928" s="8"/>
      <c r="AA928" s="8"/>
      <c r="AB928" s="8"/>
      <c r="AC928" s="8"/>
    </row>
    <row r="929" ht="12.75" customHeight="1" spans="1:29" x14ac:dyDescent="0.25">
      <c r="A929" s="8"/>
      <c r="B929" s="8"/>
      <c r="C929" s="8"/>
      <c r="D929" s="8"/>
      <c r="E929" s="8"/>
      <c r="F929" s="8"/>
      <c r="G929" s="8"/>
      <c r="H929" s="675"/>
      <c r="I929" s="675"/>
      <c r="J929" s="675"/>
      <c r="K929" s="675"/>
      <c r="L929" s="675"/>
      <c r="M929" s="675"/>
      <c r="N929" s="675"/>
      <c r="O929" s="675"/>
      <c r="P929" s="675"/>
      <c r="Q929" s="675"/>
      <c r="R929" s="675"/>
      <c r="S929" s="675"/>
      <c r="T929" s="675"/>
      <c r="U929" s="8"/>
      <c r="V929" s="8"/>
      <c r="W929" s="8"/>
      <c r="X929" s="8"/>
      <c r="Y929" s="8"/>
      <c r="Z929" s="8"/>
      <c r="AA929" s="8"/>
      <c r="AB929" s="8"/>
      <c r="AC929" s="8"/>
    </row>
    <row r="930" ht="12.75" customHeight="1" spans="1:29" x14ac:dyDescent="0.25">
      <c r="A930" s="8"/>
      <c r="B930" s="8"/>
      <c r="C930" s="8"/>
      <c r="D930" s="8"/>
      <c r="E930" s="8"/>
      <c r="F930" s="8"/>
      <c r="G930" s="8"/>
      <c r="H930" s="675"/>
      <c r="I930" s="675"/>
      <c r="J930" s="675"/>
      <c r="K930" s="675"/>
      <c r="L930" s="675"/>
      <c r="M930" s="675"/>
      <c r="N930" s="675"/>
      <c r="O930" s="675"/>
      <c r="P930" s="675"/>
      <c r="Q930" s="675"/>
      <c r="R930" s="675"/>
      <c r="S930" s="675"/>
      <c r="T930" s="675"/>
      <c r="U930" s="8"/>
      <c r="V930" s="8"/>
      <c r="W930" s="8"/>
      <c r="X930" s="8"/>
      <c r="Y930" s="8"/>
      <c r="Z930" s="8"/>
      <c r="AA930" s="8"/>
      <c r="AB930" s="8"/>
      <c r="AC930" s="8"/>
    </row>
    <row r="931" ht="12.75" customHeight="1" spans="1:29" x14ac:dyDescent="0.25">
      <c r="A931" s="8"/>
      <c r="B931" s="8"/>
      <c r="C931" s="8"/>
      <c r="D931" s="8"/>
      <c r="E931" s="8"/>
      <c r="F931" s="8"/>
      <c r="G931" s="8"/>
      <c r="H931" s="675"/>
      <c r="I931" s="675"/>
      <c r="J931" s="675"/>
      <c r="K931" s="675"/>
      <c r="L931" s="675"/>
      <c r="M931" s="675"/>
      <c r="N931" s="675"/>
      <c r="O931" s="675"/>
      <c r="P931" s="675"/>
      <c r="Q931" s="675"/>
      <c r="R931" s="675"/>
      <c r="S931" s="675"/>
      <c r="T931" s="675"/>
      <c r="U931" s="8"/>
      <c r="V931" s="8"/>
      <c r="W931" s="8"/>
      <c r="X931" s="8"/>
      <c r="Y931" s="8"/>
      <c r="Z931" s="8"/>
      <c r="AA931" s="8"/>
      <c r="AB931" s="8"/>
      <c r="AC931" s="8"/>
    </row>
    <row r="932" ht="12.75" customHeight="1" spans="1:29" x14ac:dyDescent="0.25">
      <c r="A932" s="8"/>
      <c r="B932" s="8"/>
      <c r="C932" s="8"/>
      <c r="D932" s="8"/>
      <c r="E932" s="8"/>
      <c r="F932" s="8"/>
      <c r="G932" s="8"/>
      <c r="H932" s="675"/>
      <c r="I932" s="675"/>
      <c r="J932" s="675"/>
      <c r="K932" s="675"/>
      <c r="L932" s="675"/>
      <c r="M932" s="675"/>
      <c r="N932" s="675"/>
      <c r="O932" s="675"/>
      <c r="P932" s="675"/>
      <c r="Q932" s="675"/>
      <c r="R932" s="675"/>
      <c r="S932" s="675"/>
      <c r="T932" s="675"/>
      <c r="U932" s="8"/>
      <c r="V932" s="8"/>
      <c r="W932" s="8"/>
      <c r="X932" s="8"/>
      <c r="Y932" s="8"/>
      <c r="Z932" s="8"/>
      <c r="AA932" s="8"/>
      <c r="AB932" s="8"/>
      <c r="AC932" s="8"/>
    </row>
    <row r="933" ht="12.75" customHeight="1" spans="1:29" x14ac:dyDescent="0.25">
      <c r="A933" s="8"/>
      <c r="B933" s="8"/>
      <c r="C933" s="8"/>
      <c r="D933" s="8"/>
      <c r="E933" s="8"/>
      <c r="F933" s="8"/>
      <c r="G933" s="8"/>
      <c r="H933" s="675"/>
      <c r="I933" s="675"/>
      <c r="J933" s="675"/>
      <c r="K933" s="675"/>
      <c r="L933" s="675"/>
      <c r="M933" s="675"/>
      <c r="N933" s="675"/>
      <c r="O933" s="675"/>
      <c r="P933" s="675"/>
      <c r="Q933" s="675"/>
      <c r="R933" s="675"/>
      <c r="S933" s="675"/>
      <c r="T933" s="675"/>
      <c r="U933" s="8"/>
      <c r="V933" s="8"/>
      <c r="W933" s="8"/>
      <c r="X933" s="8"/>
      <c r="Y933" s="8"/>
      <c r="Z933" s="8"/>
      <c r="AA933" s="8"/>
      <c r="AB933" s="8"/>
      <c r="AC933" s="8"/>
    </row>
    <row r="934" ht="12.75" customHeight="1" spans="1:29" x14ac:dyDescent="0.25">
      <c r="A934" s="8"/>
      <c r="B934" s="8"/>
      <c r="C934" s="8"/>
      <c r="D934" s="8"/>
      <c r="E934" s="8"/>
      <c r="F934" s="8"/>
      <c r="G934" s="8"/>
      <c r="H934" s="675"/>
      <c r="I934" s="675"/>
      <c r="J934" s="675"/>
      <c r="K934" s="675"/>
      <c r="L934" s="675"/>
      <c r="M934" s="675"/>
      <c r="N934" s="675"/>
      <c r="O934" s="675"/>
      <c r="P934" s="675"/>
      <c r="Q934" s="675"/>
      <c r="R934" s="675"/>
      <c r="S934" s="675"/>
      <c r="T934" s="675"/>
      <c r="U934" s="8"/>
      <c r="V934" s="8"/>
      <c r="W934" s="8"/>
      <c r="X934" s="8"/>
      <c r="Y934" s="8"/>
      <c r="Z934" s="8"/>
      <c r="AA934" s="8"/>
      <c r="AB934" s="8"/>
      <c r="AC934" s="8"/>
    </row>
    <row r="935" ht="12.75" customHeight="1" spans="1:29" x14ac:dyDescent="0.25">
      <c r="A935" s="8"/>
      <c r="B935" s="8"/>
      <c r="C935" s="8"/>
      <c r="D935" s="8"/>
      <c r="E935" s="8"/>
      <c r="F935" s="8"/>
      <c r="G935" s="8"/>
      <c r="H935" s="675"/>
      <c r="I935" s="675"/>
      <c r="J935" s="675"/>
      <c r="K935" s="675"/>
      <c r="L935" s="675"/>
      <c r="M935" s="675"/>
      <c r="N935" s="675"/>
      <c r="O935" s="675"/>
      <c r="P935" s="675"/>
      <c r="Q935" s="675"/>
      <c r="R935" s="675"/>
      <c r="S935" s="675"/>
      <c r="T935" s="675"/>
      <c r="U935" s="8"/>
      <c r="V935" s="8"/>
      <c r="W935" s="8"/>
      <c r="X935" s="8"/>
      <c r="Y935" s="8"/>
      <c r="Z935" s="8"/>
      <c r="AA935" s="8"/>
      <c r="AB935" s="8"/>
      <c r="AC935" s="8"/>
    </row>
    <row r="936" ht="12.75" customHeight="1" spans="1:29" x14ac:dyDescent="0.25">
      <c r="A936" s="8"/>
      <c r="B936" s="8"/>
      <c r="C936" s="8"/>
      <c r="D936" s="8"/>
      <c r="E936" s="8"/>
      <c r="F936" s="8"/>
      <c r="G936" s="8"/>
      <c r="H936" s="675"/>
      <c r="I936" s="675"/>
      <c r="J936" s="675"/>
      <c r="K936" s="675"/>
      <c r="L936" s="675"/>
      <c r="M936" s="675"/>
      <c r="N936" s="675"/>
      <c r="O936" s="675"/>
      <c r="P936" s="675"/>
      <c r="Q936" s="675"/>
      <c r="R936" s="675"/>
      <c r="S936" s="675"/>
      <c r="T936" s="675"/>
      <c r="U936" s="8"/>
      <c r="V936" s="8"/>
      <c r="W936" s="8"/>
      <c r="X936" s="8"/>
      <c r="Y936" s="8"/>
      <c r="Z936" s="8"/>
      <c r="AA936" s="8"/>
      <c r="AB936" s="8"/>
      <c r="AC936" s="8"/>
    </row>
    <row r="937" ht="12.75" customHeight="1" spans="1:29" x14ac:dyDescent="0.25">
      <c r="A937" s="8"/>
      <c r="B937" s="8"/>
      <c r="C937" s="8"/>
      <c r="D937" s="8"/>
      <c r="E937" s="8"/>
      <c r="F937" s="8"/>
      <c r="G937" s="8"/>
      <c r="H937" s="675"/>
      <c r="I937" s="675"/>
      <c r="J937" s="675"/>
      <c r="K937" s="675"/>
      <c r="L937" s="675"/>
      <c r="M937" s="675"/>
      <c r="N937" s="675"/>
      <c r="O937" s="675"/>
      <c r="P937" s="675"/>
      <c r="Q937" s="675"/>
      <c r="R937" s="675"/>
      <c r="S937" s="675"/>
      <c r="T937" s="675"/>
      <c r="U937" s="8"/>
      <c r="V937" s="8"/>
      <c r="W937" s="8"/>
      <c r="X937" s="8"/>
      <c r="Y937" s="8"/>
      <c r="Z937" s="8"/>
      <c r="AA937" s="8"/>
      <c r="AB937" s="8"/>
      <c r="AC937" s="8"/>
    </row>
    <row r="938" ht="12.75" customHeight="1" spans="1:29" x14ac:dyDescent="0.25">
      <c r="A938" s="8"/>
      <c r="B938" s="8"/>
      <c r="C938" s="8"/>
      <c r="D938" s="8"/>
      <c r="E938" s="8"/>
      <c r="F938" s="8"/>
      <c r="G938" s="8"/>
      <c r="H938" s="675"/>
      <c r="I938" s="675"/>
      <c r="J938" s="675"/>
      <c r="K938" s="675"/>
      <c r="L938" s="675"/>
      <c r="M938" s="675"/>
      <c r="N938" s="675"/>
      <c r="O938" s="675"/>
      <c r="P938" s="675"/>
      <c r="Q938" s="675"/>
      <c r="R938" s="675"/>
      <c r="S938" s="675"/>
      <c r="T938" s="675"/>
      <c r="U938" s="8"/>
      <c r="V938" s="8"/>
      <c r="W938" s="8"/>
      <c r="X938" s="8"/>
      <c r="Y938" s="8"/>
      <c r="Z938" s="8"/>
      <c r="AA938" s="8"/>
      <c r="AB938" s="8"/>
      <c r="AC938" s="8"/>
    </row>
    <row r="939" ht="12.75" customHeight="1" spans="1:29" x14ac:dyDescent="0.25">
      <c r="A939" s="8"/>
      <c r="B939" s="8"/>
      <c r="C939" s="8"/>
      <c r="D939" s="8"/>
      <c r="E939" s="8"/>
      <c r="F939" s="8"/>
      <c r="G939" s="8"/>
      <c r="H939" s="675"/>
      <c r="I939" s="675"/>
      <c r="J939" s="675"/>
      <c r="K939" s="675"/>
      <c r="L939" s="675"/>
      <c r="M939" s="675"/>
      <c r="N939" s="675"/>
      <c r="O939" s="675"/>
      <c r="P939" s="675"/>
      <c r="Q939" s="675"/>
      <c r="R939" s="675"/>
      <c r="S939" s="675"/>
      <c r="T939" s="675"/>
      <c r="U939" s="8"/>
      <c r="V939" s="8"/>
      <c r="W939" s="8"/>
      <c r="X939" s="8"/>
      <c r="Y939" s="8"/>
      <c r="Z939" s="8"/>
      <c r="AA939" s="8"/>
      <c r="AB939" s="8"/>
      <c r="AC939" s="8"/>
    </row>
    <row r="940" ht="12.75" customHeight="1" spans="1:29" x14ac:dyDescent="0.25">
      <c r="A940" s="8"/>
      <c r="B940" s="8"/>
      <c r="C940" s="8"/>
      <c r="D940" s="8"/>
      <c r="E940" s="8"/>
      <c r="F940" s="8"/>
      <c r="G940" s="8"/>
      <c r="H940" s="675"/>
      <c r="I940" s="675"/>
      <c r="J940" s="675"/>
      <c r="K940" s="675"/>
      <c r="L940" s="675"/>
      <c r="M940" s="675"/>
      <c r="N940" s="675"/>
      <c r="O940" s="675"/>
      <c r="P940" s="675"/>
      <c r="Q940" s="675"/>
      <c r="R940" s="675"/>
      <c r="S940" s="675"/>
      <c r="T940" s="675"/>
      <c r="U940" s="8"/>
      <c r="V940" s="8"/>
      <c r="W940" s="8"/>
      <c r="X940" s="8"/>
      <c r="Y940" s="8"/>
      <c r="Z940" s="8"/>
      <c r="AA940" s="8"/>
      <c r="AB940" s="8"/>
      <c r="AC940" s="8"/>
    </row>
    <row r="941" ht="12.75" customHeight="1" spans="1:29" x14ac:dyDescent="0.25">
      <c r="A941" s="8"/>
      <c r="B941" s="8"/>
      <c r="C941" s="8"/>
      <c r="D941" s="8"/>
      <c r="E941" s="8"/>
      <c r="F941" s="8"/>
      <c r="G941" s="8"/>
      <c r="H941" s="675"/>
      <c r="I941" s="675"/>
      <c r="J941" s="675"/>
      <c r="K941" s="675"/>
      <c r="L941" s="675"/>
      <c r="M941" s="675"/>
      <c r="N941" s="675"/>
      <c r="O941" s="675"/>
      <c r="P941" s="675"/>
      <c r="Q941" s="675"/>
      <c r="R941" s="675"/>
      <c r="S941" s="675"/>
      <c r="T941" s="675"/>
      <c r="U941" s="8"/>
      <c r="V941" s="8"/>
      <c r="W941" s="8"/>
      <c r="X941" s="8"/>
      <c r="Y941" s="8"/>
      <c r="Z941" s="8"/>
      <c r="AA941" s="8"/>
      <c r="AB941" s="8"/>
      <c r="AC941" s="8"/>
    </row>
    <row r="942" ht="12.75" customHeight="1" spans="1:29" x14ac:dyDescent="0.25">
      <c r="A942" s="8"/>
      <c r="B942" s="8"/>
      <c r="C942" s="8"/>
      <c r="D942" s="8"/>
      <c r="E942" s="8"/>
      <c r="F942" s="8"/>
      <c r="G942" s="8"/>
      <c r="H942" s="675"/>
      <c r="I942" s="675"/>
      <c r="J942" s="675"/>
      <c r="K942" s="675"/>
      <c r="L942" s="675"/>
      <c r="M942" s="675"/>
      <c r="N942" s="675"/>
      <c r="O942" s="675"/>
      <c r="P942" s="675"/>
      <c r="Q942" s="675"/>
      <c r="R942" s="675"/>
      <c r="S942" s="675"/>
      <c r="T942" s="675"/>
      <c r="U942" s="8"/>
      <c r="V942" s="8"/>
      <c r="W942" s="8"/>
      <c r="X942" s="8"/>
      <c r="Y942" s="8"/>
      <c r="Z942" s="8"/>
      <c r="AA942" s="8"/>
      <c r="AB942" s="8"/>
      <c r="AC942" s="8"/>
    </row>
    <row r="943" ht="12.75" customHeight="1" spans="1:29" x14ac:dyDescent="0.25">
      <c r="A943" s="8"/>
      <c r="B943" s="8"/>
      <c r="C943" s="8"/>
      <c r="D943" s="8"/>
      <c r="E943" s="8"/>
      <c r="F943" s="8"/>
      <c r="G943" s="8"/>
      <c r="H943" s="675"/>
      <c r="I943" s="675"/>
      <c r="J943" s="675"/>
      <c r="K943" s="675"/>
      <c r="L943" s="675"/>
      <c r="M943" s="675"/>
      <c r="N943" s="675"/>
      <c r="O943" s="675"/>
      <c r="P943" s="675"/>
      <c r="Q943" s="675"/>
      <c r="R943" s="675"/>
      <c r="S943" s="675"/>
      <c r="T943" s="675"/>
      <c r="U943" s="8"/>
      <c r="V943" s="8"/>
      <c r="W943" s="8"/>
      <c r="X943" s="8"/>
      <c r="Y943" s="8"/>
      <c r="Z943" s="8"/>
      <c r="AA943" s="8"/>
      <c r="AB943" s="8"/>
      <c r="AC943" s="8"/>
    </row>
    <row r="944" ht="12.75" customHeight="1" spans="1:29" x14ac:dyDescent="0.25">
      <c r="A944" s="8"/>
      <c r="B944" s="8"/>
      <c r="C944" s="8"/>
      <c r="D944" s="8"/>
      <c r="E944" s="8"/>
      <c r="F944" s="8"/>
      <c r="G944" s="8"/>
      <c r="H944" s="675"/>
      <c r="I944" s="675"/>
      <c r="J944" s="675"/>
      <c r="K944" s="675"/>
      <c r="L944" s="675"/>
      <c r="M944" s="675"/>
      <c r="N944" s="675"/>
      <c r="O944" s="675"/>
      <c r="P944" s="675"/>
      <c r="Q944" s="675"/>
      <c r="R944" s="675"/>
      <c r="S944" s="675"/>
      <c r="T944" s="675"/>
      <c r="U944" s="8"/>
      <c r="V944" s="8"/>
      <c r="W944" s="8"/>
      <c r="X944" s="8"/>
      <c r="Y944" s="8"/>
      <c r="Z944" s="8"/>
      <c r="AA944" s="8"/>
      <c r="AB944" s="8"/>
      <c r="AC944" s="8"/>
    </row>
    <row r="945" ht="12.75" customHeight="1" spans="1:29" x14ac:dyDescent="0.25">
      <c r="A945" s="8"/>
      <c r="B945" s="8"/>
      <c r="C945" s="8"/>
      <c r="D945" s="8"/>
      <c r="E945" s="8"/>
      <c r="F945" s="8"/>
      <c r="G945" s="8"/>
      <c r="H945" s="675"/>
      <c r="I945" s="675"/>
      <c r="J945" s="675"/>
      <c r="K945" s="675"/>
      <c r="L945" s="675"/>
      <c r="M945" s="675"/>
      <c r="N945" s="675"/>
      <c r="O945" s="675"/>
      <c r="P945" s="675"/>
      <c r="Q945" s="675"/>
      <c r="R945" s="675"/>
      <c r="S945" s="675"/>
      <c r="T945" s="675"/>
      <c r="U945" s="8"/>
      <c r="V945" s="8"/>
      <c r="W945" s="8"/>
      <c r="X945" s="8"/>
      <c r="Y945" s="8"/>
      <c r="Z945" s="8"/>
      <c r="AA945" s="8"/>
      <c r="AB945" s="8"/>
      <c r="AC945" s="8"/>
    </row>
    <row r="946" ht="12.75" customHeight="1" spans="1:29" x14ac:dyDescent="0.25">
      <c r="A946" s="8"/>
      <c r="B946" s="8"/>
      <c r="C946" s="8"/>
      <c r="D946" s="8"/>
      <c r="E946" s="8"/>
      <c r="F946" s="8"/>
      <c r="G946" s="8"/>
      <c r="H946" s="675"/>
      <c r="I946" s="675"/>
      <c r="J946" s="675"/>
      <c r="K946" s="675"/>
      <c r="L946" s="675"/>
      <c r="M946" s="675"/>
      <c r="N946" s="675"/>
      <c r="O946" s="675"/>
      <c r="P946" s="675"/>
      <c r="Q946" s="675"/>
      <c r="R946" s="675"/>
      <c r="S946" s="675"/>
      <c r="T946" s="675"/>
      <c r="U946" s="8"/>
      <c r="V946" s="8"/>
      <c r="W946" s="8"/>
      <c r="X946" s="8"/>
      <c r="Y946" s="8"/>
      <c r="Z946" s="8"/>
      <c r="AA946" s="8"/>
      <c r="AB946" s="8"/>
      <c r="AC946" s="8"/>
    </row>
    <row r="947" ht="12.75" customHeight="1" spans="1:29" x14ac:dyDescent="0.25">
      <c r="A947" s="8"/>
      <c r="B947" s="8"/>
      <c r="C947" s="8"/>
      <c r="D947" s="8"/>
      <c r="E947" s="8"/>
      <c r="F947" s="8"/>
      <c r="G947" s="8"/>
      <c r="H947" s="675"/>
      <c r="I947" s="675"/>
      <c r="J947" s="675"/>
      <c r="K947" s="675"/>
      <c r="L947" s="675"/>
      <c r="M947" s="675"/>
      <c r="N947" s="675"/>
      <c r="O947" s="675"/>
      <c r="P947" s="675"/>
      <c r="Q947" s="675"/>
      <c r="R947" s="675"/>
      <c r="S947" s="675"/>
      <c r="T947" s="675"/>
      <c r="U947" s="8"/>
      <c r="V947" s="8"/>
      <c r="W947" s="8"/>
      <c r="X947" s="8"/>
      <c r="Y947" s="8"/>
      <c r="Z947" s="8"/>
      <c r="AA947" s="8"/>
      <c r="AB947" s="8"/>
      <c r="AC947" s="8"/>
    </row>
    <row r="948" ht="12.75" customHeight="1" spans="1:29" x14ac:dyDescent="0.25">
      <c r="A948" s="8"/>
      <c r="B948" s="8"/>
      <c r="C948" s="8"/>
      <c r="D948" s="8"/>
      <c r="E948" s="8"/>
      <c r="F948" s="8"/>
      <c r="G948" s="8"/>
      <c r="H948" s="675"/>
      <c r="I948" s="675"/>
      <c r="J948" s="675"/>
      <c r="K948" s="675"/>
      <c r="L948" s="675"/>
      <c r="M948" s="675"/>
      <c r="N948" s="675"/>
      <c r="O948" s="675"/>
      <c r="P948" s="675"/>
      <c r="Q948" s="675"/>
      <c r="R948" s="675"/>
      <c r="S948" s="675"/>
      <c r="T948" s="675"/>
      <c r="U948" s="8"/>
      <c r="V948" s="8"/>
      <c r="W948" s="8"/>
      <c r="X948" s="8"/>
      <c r="Y948" s="8"/>
      <c r="Z948" s="8"/>
      <c r="AA948" s="8"/>
      <c r="AB948" s="8"/>
      <c r="AC948" s="8"/>
    </row>
    <row r="949" ht="12.75" customHeight="1" spans="1:29" x14ac:dyDescent="0.25">
      <c r="A949" s="8"/>
      <c r="B949" s="8"/>
      <c r="C949" s="8"/>
      <c r="D949" s="8"/>
      <c r="E949" s="8"/>
      <c r="F949" s="8"/>
      <c r="G949" s="8"/>
      <c r="H949" s="675"/>
      <c r="I949" s="675"/>
      <c r="J949" s="675"/>
      <c r="K949" s="675"/>
      <c r="L949" s="675"/>
      <c r="M949" s="675"/>
      <c r="N949" s="675"/>
      <c r="O949" s="675"/>
      <c r="P949" s="675"/>
      <c r="Q949" s="675"/>
      <c r="R949" s="675"/>
      <c r="S949" s="675"/>
      <c r="T949" s="675"/>
      <c r="U949" s="8"/>
      <c r="V949" s="8"/>
      <c r="W949" s="8"/>
      <c r="X949" s="8"/>
      <c r="Y949" s="8"/>
      <c r="Z949" s="8"/>
      <c r="AA949" s="8"/>
      <c r="AB949" s="8"/>
      <c r="AC949" s="8"/>
    </row>
    <row r="950" ht="12.75" customHeight="1" spans="1:29" x14ac:dyDescent="0.25">
      <c r="A950" s="8"/>
      <c r="B950" s="8"/>
      <c r="C950" s="8"/>
      <c r="D950" s="8"/>
      <c r="E950" s="8"/>
      <c r="F950" s="8"/>
      <c r="G950" s="8"/>
      <c r="H950" s="675"/>
      <c r="I950" s="675"/>
      <c r="J950" s="675"/>
      <c r="K950" s="675"/>
      <c r="L950" s="675"/>
      <c r="M950" s="675"/>
      <c r="N950" s="675"/>
      <c r="O950" s="675"/>
      <c r="P950" s="675"/>
      <c r="Q950" s="675"/>
      <c r="R950" s="675"/>
      <c r="S950" s="675"/>
      <c r="T950" s="675"/>
      <c r="U950" s="8"/>
      <c r="V950" s="8"/>
      <c r="W950" s="8"/>
      <c r="X950" s="8"/>
      <c r="Y950" s="8"/>
      <c r="Z950" s="8"/>
      <c r="AA950" s="8"/>
      <c r="AB950" s="8"/>
      <c r="AC950" s="8"/>
    </row>
    <row r="951" ht="12.75" customHeight="1" spans="1:29" x14ac:dyDescent="0.25">
      <c r="A951" s="8"/>
      <c r="B951" s="8"/>
      <c r="C951" s="8"/>
      <c r="D951" s="8"/>
      <c r="E951" s="8"/>
      <c r="F951" s="8"/>
      <c r="G951" s="8"/>
      <c r="H951" s="675"/>
      <c r="I951" s="675"/>
      <c r="J951" s="675"/>
      <c r="K951" s="675"/>
      <c r="L951" s="675"/>
      <c r="M951" s="675"/>
      <c r="N951" s="675"/>
      <c r="O951" s="675"/>
      <c r="P951" s="675"/>
      <c r="Q951" s="675"/>
      <c r="R951" s="675"/>
      <c r="S951" s="675"/>
      <c r="T951" s="675"/>
      <c r="U951" s="8"/>
      <c r="V951" s="8"/>
      <c r="W951" s="8"/>
      <c r="X951" s="8"/>
      <c r="Y951" s="8"/>
      <c r="Z951" s="8"/>
      <c r="AA951" s="8"/>
      <c r="AB951" s="8"/>
      <c r="AC951" s="8"/>
    </row>
    <row r="952" ht="12.75" customHeight="1" spans="1:29" x14ac:dyDescent="0.25">
      <c r="A952" s="8"/>
      <c r="B952" s="8"/>
      <c r="C952" s="8"/>
      <c r="D952" s="8"/>
      <c r="E952" s="8"/>
      <c r="F952" s="8"/>
      <c r="G952" s="8"/>
      <c r="H952" s="675"/>
      <c r="I952" s="675"/>
      <c r="J952" s="675"/>
      <c r="K952" s="675"/>
      <c r="L952" s="675"/>
      <c r="M952" s="675"/>
      <c r="N952" s="675"/>
      <c r="O952" s="675"/>
      <c r="P952" s="675"/>
      <c r="Q952" s="675"/>
      <c r="R952" s="675"/>
      <c r="S952" s="675"/>
      <c r="T952" s="675"/>
      <c r="U952" s="8"/>
      <c r="V952" s="8"/>
      <c r="W952" s="8"/>
      <c r="X952" s="8"/>
      <c r="Y952" s="8"/>
      <c r="Z952" s="8"/>
      <c r="AA952" s="8"/>
      <c r="AB952" s="8"/>
      <c r="AC952" s="8"/>
    </row>
    <row r="953" ht="12.75" customHeight="1" spans="1:29" x14ac:dyDescent="0.25">
      <c r="A953" s="8"/>
      <c r="B953" s="8"/>
      <c r="C953" s="8"/>
      <c r="D953" s="8"/>
      <c r="E953" s="8"/>
      <c r="F953" s="8"/>
      <c r="G953" s="8"/>
      <c r="H953" s="675"/>
      <c r="I953" s="675"/>
      <c r="J953" s="675"/>
      <c r="K953" s="675"/>
      <c r="L953" s="675"/>
      <c r="M953" s="675"/>
      <c r="N953" s="675"/>
      <c r="O953" s="675"/>
      <c r="P953" s="675"/>
      <c r="Q953" s="675"/>
      <c r="R953" s="675"/>
      <c r="S953" s="675"/>
      <c r="T953" s="675"/>
      <c r="U953" s="8"/>
      <c r="V953" s="8"/>
      <c r="W953" s="8"/>
      <c r="X953" s="8"/>
      <c r="Y953" s="8"/>
      <c r="Z953" s="8"/>
      <c r="AA953" s="8"/>
      <c r="AB953" s="8"/>
      <c r="AC953" s="8"/>
    </row>
    <row r="954" ht="12.75" customHeight="1" spans="1:29" x14ac:dyDescent="0.25">
      <c r="A954" s="8"/>
      <c r="B954" s="8"/>
      <c r="C954" s="8"/>
      <c r="D954" s="8"/>
      <c r="E954" s="8"/>
      <c r="F954" s="8"/>
      <c r="G954" s="8"/>
      <c r="H954" s="675"/>
      <c r="I954" s="675"/>
      <c r="J954" s="675"/>
      <c r="K954" s="675"/>
      <c r="L954" s="675"/>
      <c r="M954" s="675"/>
      <c r="N954" s="675"/>
      <c r="O954" s="675"/>
      <c r="P954" s="675"/>
      <c r="Q954" s="675"/>
      <c r="R954" s="675"/>
      <c r="S954" s="675"/>
      <c r="T954" s="675"/>
      <c r="U954" s="8"/>
      <c r="V954" s="8"/>
      <c r="W954" s="8"/>
      <c r="X954" s="8"/>
      <c r="Y954" s="8"/>
      <c r="Z954" s="8"/>
      <c r="AA954" s="8"/>
      <c r="AB954" s="8"/>
      <c r="AC954" s="8"/>
    </row>
    <row r="955" ht="12.75" customHeight="1" spans="1:29" x14ac:dyDescent="0.25">
      <c r="A955" s="8"/>
      <c r="B955" s="8"/>
      <c r="C955" s="8"/>
      <c r="D955" s="8"/>
      <c r="E955" s="8"/>
      <c r="F955" s="8"/>
      <c r="G955" s="8"/>
      <c r="H955" s="675"/>
      <c r="I955" s="675"/>
      <c r="J955" s="675"/>
      <c r="K955" s="675"/>
      <c r="L955" s="675"/>
      <c r="M955" s="675"/>
      <c r="N955" s="675"/>
      <c r="O955" s="675"/>
      <c r="P955" s="675"/>
      <c r="Q955" s="675"/>
      <c r="R955" s="675"/>
      <c r="S955" s="675"/>
      <c r="T955" s="675"/>
      <c r="U955" s="8"/>
      <c r="V955" s="8"/>
      <c r="W955" s="8"/>
      <c r="X955" s="8"/>
      <c r="Y955" s="8"/>
      <c r="Z955" s="8"/>
      <c r="AA955" s="8"/>
      <c r="AB955" s="8"/>
      <c r="AC955" s="8"/>
    </row>
    <row r="956" ht="12.75" customHeight="1" spans="1:29" x14ac:dyDescent="0.25">
      <c r="A956" s="8"/>
      <c r="B956" s="8"/>
      <c r="C956" s="8"/>
      <c r="D956" s="8"/>
      <c r="E956" s="8"/>
      <c r="F956" s="8"/>
      <c r="G956" s="8"/>
      <c r="H956" s="675"/>
      <c r="I956" s="675"/>
      <c r="J956" s="675"/>
      <c r="K956" s="675"/>
      <c r="L956" s="675"/>
      <c r="M956" s="675"/>
      <c r="N956" s="675"/>
      <c r="O956" s="675"/>
      <c r="P956" s="675"/>
      <c r="Q956" s="675"/>
      <c r="R956" s="675"/>
      <c r="S956" s="675"/>
      <c r="T956" s="675"/>
      <c r="U956" s="8"/>
      <c r="V956" s="8"/>
      <c r="W956" s="8"/>
      <c r="X956" s="8"/>
      <c r="Y956" s="8"/>
      <c r="Z956" s="8"/>
      <c r="AA956" s="8"/>
      <c r="AB956" s="8"/>
      <c r="AC956" s="8"/>
    </row>
    <row r="957" ht="12.75" customHeight="1" spans="1:29" x14ac:dyDescent="0.25">
      <c r="A957" s="8"/>
      <c r="B957" s="8"/>
      <c r="C957" s="8"/>
      <c r="D957" s="8"/>
      <c r="E957" s="8"/>
      <c r="F957" s="8"/>
      <c r="G957" s="8"/>
      <c r="H957" s="675"/>
      <c r="I957" s="675"/>
      <c r="J957" s="675"/>
      <c r="K957" s="675"/>
      <c r="L957" s="675"/>
      <c r="M957" s="675"/>
      <c r="N957" s="675"/>
      <c r="O957" s="675"/>
      <c r="P957" s="675"/>
      <c r="Q957" s="675"/>
      <c r="R957" s="675"/>
      <c r="S957" s="675"/>
      <c r="T957" s="675"/>
      <c r="U957" s="8"/>
      <c r="V957" s="8"/>
      <c r="W957" s="8"/>
      <c r="X957" s="8"/>
      <c r="Y957" s="8"/>
      <c r="Z957" s="8"/>
      <c r="AA957" s="8"/>
      <c r="AB957" s="8"/>
      <c r="AC957" s="8"/>
    </row>
    <row r="958" ht="12.75" customHeight="1" spans="1:29" x14ac:dyDescent="0.25">
      <c r="A958" s="8"/>
      <c r="B958" s="8"/>
      <c r="C958" s="8"/>
      <c r="D958" s="8"/>
      <c r="E958" s="8"/>
      <c r="F958" s="8"/>
      <c r="G958" s="8"/>
      <c r="H958" s="675"/>
      <c r="I958" s="675"/>
      <c r="J958" s="675"/>
      <c r="K958" s="675"/>
      <c r="L958" s="675"/>
      <c r="M958" s="675"/>
      <c r="N958" s="675"/>
      <c r="O958" s="675"/>
      <c r="P958" s="675"/>
      <c r="Q958" s="675"/>
      <c r="R958" s="675"/>
      <c r="S958" s="675"/>
      <c r="T958" s="675"/>
      <c r="U958" s="8"/>
      <c r="V958" s="8"/>
      <c r="W958" s="8"/>
      <c r="X958" s="8"/>
      <c r="Y958" s="8"/>
      <c r="Z958" s="8"/>
      <c r="AA958" s="8"/>
      <c r="AB958" s="8"/>
      <c r="AC958" s="8"/>
    </row>
    <row r="959" ht="12.75" customHeight="1" spans="1:29" x14ac:dyDescent="0.25">
      <c r="A959" s="8"/>
      <c r="B959" s="8"/>
      <c r="C959" s="8"/>
      <c r="D959" s="8"/>
      <c r="E959" s="8"/>
      <c r="F959" s="8"/>
      <c r="G959" s="8"/>
      <c r="H959" s="675"/>
      <c r="I959" s="675"/>
      <c r="J959" s="675"/>
      <c r="K959" s="675"/>
      <c r="L959" s="675"/>
      <c r="M959" s="675"/>
      <c r="N959" s="675"/>
      <c r="O959" s="675"/>
      <c r="P959" s="675"/>
      <c r="Q959" s="675"/>
      <c r="R959" s="675"/>
      <c r="S959" s="675"/>
      <c r="T959" s="675"/>
      <c r="U959" s="8"/>
      <c r="V959" s="8"/>
      <c r="W959" s="8"/>
      <c r="X959" s="8"/>
      <c r="Y959" s="8"/>
      <c r="Z959" s="8"/>
      <c r="AA959" s="8"/>
      <c r="AB959" s="8"/>
      <c r="AC959" s="8"/>
    </row>
    <row r="960" ht="12.75" customHeight="1" spans="1:29" x14ac:dyDescent="0.25">
      <c r="A960" s="8"/>
      <c r="B960" s="8"/>
      <c r="C960" s="8"/>
      <c r="D960" s="8"/>
      <c r="E960" s="8"/>
      <c r="F960" s="8"/>
      <c r="G960" s="8"/>
      <c r="H960" s="675"/>
      <c r="I960" s="675"/>
      <c r="J960" s="675"/>
      <c r="K960" s="675"/>
      <c r="L960" s="675"/>
      <c r="M960" s="675"/>
      <c r="N960" s="675"/>
      <c r="O960" s="675"/>
      <c r="P960" s="675"/>
      <c r="Q960" s="675"/>
      <c r="R960" s="675"/>
      <c r="S960" s="675"/>
      <c r="T960" s="675"/>
      <c r="U960" s="8"/>
      <c r="V960" s="8"/>
      <c r="W960" s="8"/>
      <c r="X960" s="8"/>
      <c r="Y960" s="8"/>
      <c r="Z960" s="8"/>
      <c r="AA960" s="8"/>
      <c r="AB960" s="8"/>
      <c r="AC960" s="8"/>
    </row>
    <row r="961" ht="12.75" customHeight="1" spans="1:29" x14ac:dyDescent="0.25">
      <c r="A961" s="8"/>
      <c r="B961" s="8"/>
      <c r="C961" s="8"/>
      <c r="D961" s="8"/>
      <c r="E961" s="8"/>
      <c r="F961" s="8"/>
      <c r="G961" s="8"/>
      <c r="H961" s="675"/>
      <c r="I961" s="675"/>
      <c r="J961" s="675"/>
      <c r="K961" s="675"/>
      <c r="L961" s="675"/>
      <c r="M961" s="675"/>
      <c r="N961" s="675"/>
      <c r="O961" s="675"/>
      <c r="P961" s="675"/>
      <c r="Q961" s="675"/>
      <c r="R961" s="675"/>
      <c r="S961" s="675"/>
      <c r="T961" s="675"/>
      <c r="U961" s="8"/>
      <c r="V961" s="8"/>
      <c r="W961" s="8"/>
      <c r="X961" s="8"/>
      <c r="Y961" s="8"/>
      <c r="Z961" s="8"/>
      <c r="AA961" s="8"/>
      <c r="AB961" s="8"/>
      <c r="AC961" s="8"/>
    </row>
    <row r="962" ht="12.75" customHeight="1" spans="1:29" x14ac:dyDescent="0.25">
      <c r="A962" s="8"/>
      <c r="B962" s="8"/>
      <c r="C962" s="8"/>
      <c r="D962" s="8"/>
      <c r="E962" s="8"/>
      <c r="F962" s="8"/>
      <c r="G962" s="8"/>
      <c r="H962" s="675"/>
      <c r="I962" s="675"/>
      <c r="J962" s="675"/>
      <c r="K962" s="675"/>
      <c r="L962" s="675"/>
      <c r="M962" s="675"/>
      <c r="N962" s="675"/>
      <c r="O962" s="675"/>
      <c r="P962" s="675"/>
      <c r="Q962" s="675"/>
      <c r="R962" s="675"/>
      <c r="S962" s="675"/>
      <c r="T962" s="675"/>
      <c r="U962" s="8"/>
      <c r="V962" s="8"/>
      <c r="W962" s="8"/>
      <c r="X962" s="8"/>
      <c r="Y962" s="8"/>
      <c r="Z962" s="8"/>
      <c r="AA962" s="8"/>
      <c r="AB962" s="8"/>
      <c r="AC962" s="8"/>
    </row>
    <row r="963" ht="12.75" customHeight="1" spans="1:29" x14ac:dyDescent="0.25">
      <c r="A963" s="8"/>
      <c r="B963" s="8"/>
      <c r="C963" s="8"/>
      <c r="D963" s="8"/>
      <c r="E963" s="8"/>
      <c r="F963" s="8"/>
      <c r="G963" s="8"/>
      <c r="H963" s="675"/>
      <c r="I963" s="675"/>
      <c r="J963" s="675"/>
      <c r="K963" s="675"/>
      <c r="L963" s="675"/>
      <c r="M963" s="675"/>
      <c r="N963" s="675"/>
      <c r="O963" s="675"/>
      <c r="P963" s="675"/>
      <c r="Q963" s="675"/>
      <c r="R963" s="675"/>
      <c r="S963" s="675"/>
      <c r="T963" s="675"/>
      <c r="U963" s="8"/>
      <c r="V963" s="8"/>
      <c r="W963" s="8"/>
      <c r="X963" s="8"/>
      <c r="Y963" s="8"/>
      <c r="Z963" s="8"/>
      <c r="AA963" s="8"/>
      <c r="AB963" s="8"/>
      <c r="AC963" s="8"/>
    </row>
    <row r="964" ht="12.75" customHeight="1" spans="1:29" x14ac:dyDescent="0.25">
      <c r="A964" s="8"/>
      <c r="B964" s="8"/>
      <c r="C964" s="8"/>
      <c r="D964" s="8"/>
      <c r="E964" s="8"/>
      <c r="F964" s="8"/>
      <c r="G964" s="8"/>
      <c r="H964" s="675"/>
      <c r="I964" s="675"/>
      <c r="J964" s="675"/>
      <c r="K964" s="675"/>
      <c r="L964" s="675"/>
      <c r="M964" s="675"/>
      <c r="N964" s="675"/>
      <c r="O964" s="675"/>
      <c r="P964" s="675"/>
      <c r="Q964" s="675"/>
      <c r="R964" s="675"/>
      <c r="S964" s="675"/>
      <c r="T964" s="675"/>
      <c r="U964" s="8"/>
      <c r="V964" s="8"/>
      <c r="W964" s="8"/>
      <c r="X964" s="8"/>
      <c r="Y964" s="8"/>
      <c r="Z964" s="8"/>
      <c r="AA964" s="8"/>
      <c r="AB964" s="8"/>
      <c r="AC964" s="8"/>
    </row>
    <row r="965" ht="12.75" customHeight="1" spans="1:29" x14ac:dyDescent="0.25">
      <c r="A965" s="8"/>
      <c r="B965" s="8"/>
      <c r="C965" s="8"/>
      <c r="D965" s="8"/>
      <c r="E965" s="8"/>
      <c r="F965" s="8"/>
      <c r="G965" s="8"/>
      <c r="H965" s="675"/>
      <c r="I965" s="675"/>
      <c r="J965" s="675"/>
      <c r="K965" s="675"/>
      <c r="L965" s="675"/>
      <c r="M965" s="675"/>
      <c r="N965" s="675"/>
      <c r="O965" s="675"/>
      <c r="P965" s="675"/>
      <c r="Q965" s="675"/>
      <c r="R965" s="675"/>
      <c r="S965" s="675"/>
      <c r="T965" s="675"/>
      <c r="U965" s="8"/>
      <c r="V965" s="8"/>
      <c r="W965" s="8"/>
      <c r="X965" s="8"/>
      <c r="Y965" s="8"/>
      <c r="Z965" s="8"/>
      <c r="AA965" s="8"/>
      <c r="AB965" s="8"/>
      <c r="AC965" s="8"/>
    </row>
    <row r="966" ht="12.75" customHeight="1" spans="1:29" x14ac:dyDescent="0.25">
      <c r="A966" s="8"/>
      <c r="B966" s="8"/>
      <c r="C966" s="8"/>
      <c r="D966" s="8"/>
      <c r="E966" s="8"/>
      <c r="F966" s="8"/>
      <c r="G966" s="8"/>
      <c r="H966" s="675"/>
      <c r="I966" s="675"/>
      <c r="J966" s="675"/>
      <c r="K966" s="675"/>
      <c r="L966" s="675"/>
      <c r="M966" s="675"/>
      <c r="N966" s="675"/>
      <c r="O966" s="675"/>
      <c r="P966" s="675"/>
      <c r="Q966" s="675"/>
      <c r="R966" s="675"/>
      <c r="S966" s="675"/>
      <c r="T966" s="675"/>
      <c r="U966" s="8"/>
      <c r="V966" s="8"/>
      <c r="W966" s="8"/>
      <c r="X966" s="8"/>
      <c r="Y966" s="8"/>
      <c r="Z966" s="8"/>
      <c r="AA966" s="8"/>
      <c r="AB966" s="8"/>
      <c r="AC966" s="8"/>
    </row>
    <row r="967" ht="12.75" customHeight="1" spans="1:29" x14ac:dyDescent="0.25">
      <c r="A967" s="8"/>
      <c r="B967" s="8"/>
      <c r="C967" s="8"/>
      <c r="D967" s="8"/>
      <c r="E967" s="8"/>
      <c r="F967" s="8"/>
      <c r="G967" s="8"/>
      <c r="H967" s="675"/>
      <c r="I967" s="675"/>
      <c r="J967" s="675"/>
      <c r="K967" s="675"/>
      <c r="L967" s="675"/>
      <c r="M967" s="675"/>
      <c r="N967" s="675"/>
      <c r="O967" s="675"/>
      <c r="P967" s="675"/>
      <c r="Q967" s="675"/>
      <c r="R967" s="675"/>
      <c r="S967" s="675"/>
      <c r="T967" s="675"/>
      <c r="U967" s="8"/>
      <c r="V967" s="8"/>
      <c r="W967" s="8"/>
      <c r="X967" s="8"/>
      <c r="Y967" s="8"/>
      <c r="Z967" s="8"/>
      <c r="AA967" s="8"/>
      <c r="AB967" s="8"/>
      <c r="AC967" s="8"/>
    </row>
    <row r="968" ht="12.75" customHeight="1" spans="1:29" x14ac:dyDescent="0.25">
      <c r="A968" s="8"/>
      <c r="B968" s="8"/>
      <c r="C968" s="8"/>
      <c r="D968" s="8"/>
      <c r="E968" s="8"/>
      <c r="F968" s="8"/>
      <c r="G968" s="8"/>
      <c r="H968" s="675"/>
      <c r="I968" s="675"/>
      <c r="J968" s="675"/>
      <c r="K968" s="675"/>
      <c r="L968" s="675"/>
      <c r="M968" s="675"/>
      <c r="N968" s="675"/>
      <c r="O968" s="675"/>
      <c r="P968" s="675"/>
      <c r="Q968" s="675"/>
      <c r="R968" s="675"/>
      <c r="S968" s="675"/>
      <c r="T968" s="675"/>
      <c r="U968" s="8"/>
      <c r="V968" s="8"/>
      <c r="W968" s="8"/>
      <c r="X968" s="8"/>
      <c r="Y968" s="8"/>
      <c r="Z968" s="8"/>
      <c r="AA968" s="8"/>
      <c r="AB968" s="8"/>
      <c r="AC968" s="8"/>
    </row>
    <row r="969" ht="12.75" customHeight="1" spans="1:29" x14ac:dyDescent="0.25">
      <c r="A969" s="8"/>
      <c r="B969" s="8"/>
      <c r="C969" s="8"/>
      <c r="D969" s="8"/>
      <c r="E969" s="8"/>
      <c r="F969" s="8"/>
      <c r="G969" s="8"/>
      <c r="H969" s="675"/>
      <c r="I969" s="675"/>
      <c r="J969" s="675"/>
      <c r="K969" s="675"/>
      <c r="L969" s="675"/>
      <c r="M969" s="675"/>
      <c r="N969" s="675"/>
      <c r="O969" s="675"/>
      <c r="P969" s="675"/>
      <c r="Q969" s="675"/>
      <c r="R969" s="675"/>
      <c r="S969" s="675"/>
      <c r="T969" s="675"/>
      <c r="U969" s="8"/>
      <c r="V969" s="8"/>
      <c r="W969" s="8"/>
      <c r="X969" s="8"/>
      <c r="Y969" s="8"/>
      <c r="Z969" s="8"/>
      <c r="AA969" s="8"/>
      <c r="AB969" s="8"/>
      <c r="AC969" s="8"/>
    </row>
    <row r="970" ht="12.75" customHeight="1" spans="1:29" x14ac:dyDescent="0.25">
      <c r="A970" s="8"/>
      <c r="B970" s="8"/>
      <c r="C970" s="8"/>
      <c r="D970" s="8"/>
      <c r="E970" s="8"/>
      <c r="F970" s="8"/>
      <c r="G970" s="8"/>
      <c r="H970" s="675"/>
      <c r="I970" s="675"/>
      <c r="J970" s="675"/>
      <c r="K970" s="675"/>
      <c r="L970" s="675"/>
      <c r="M970" s="675"/>
      <c r="N970" s="675"/>
      <c r="O970" s="675"/>
      <c r="P970" s="675"/>
      <c r="Q970" s="675"/>
      <c r="R970" s="675"/>
      <c r="S970" s="675"/>
      <c r="T970" s="675"/>
      <c r="U970" s="8"/>
      <c r="V970" s="8"/>
      <c r="W970" s="8"/>
      <c r="X970" s="8"/>
      <c r="Y970" s="8"/>
      <c r="Z970" s="8"/>
      <c r="AA970" s="8"/>
      <c r="AB970" s="8"/>
      <c r="AC970" s="8"/>
    </row>
    <row r="971" ht="12.75" customHeight="1" spans="1:29" x14ac:dyDescent="0.25">
      <c r="A971" s="8"/>
      <c r="B971" s="8"/>
      <c r="C971" s="8"/>
      <c r="D971" s="8"/>
      <c r="E971" s="8"/>
      <c r="F971" s="8"/>
      <c r="G971" s="8"/>
      <c r="H971" s="675"/>
      <c r="I971" s="675"/>
      <c r="J971" s="675"/>
      <c r="K971" s="675"/>
      <c r="L971" s="675"/>
      <c r="M971" s="675"/>
      <c r="N971" s="675"/>
      <c r="O971" s="675"/>
      <c r="P971" s="675"/>
      <c r="Q971" s="675"/>
      <c r="R971" s="675"/>
      <c r="S971" s="675"/>
      <c r="T971" s="675"/>
      <c r="U971" s="8"/>
      <c r="V971" s="8"/>
      <c r="W971" s="8"/>
      <c r="X971" s="8"/>
      <c r="Y971" s="8"/>
      <c r="Z971" s="8"/>
      <c r="AA971" s="8"/>
      <c r="AB971" s="8"/>
      <c r="AC971" s="8"/>
    </row>
    <row r="972" ht="12.75" customHeight="1" spans="1:29" x14ac:dyDescent="0.25">
      <c r="A972" s="8"/>
      <c r="B972" s="8"/>
      <c r="C972" s="8"/>
      <c r="D972" s="8"/>
      <c r="E972" s="8"/>
      <c r="F972" s="8"/>
      <c r="G972" s="8"/>
      <c r="H972" s="675"/>
      <c r="I972" s="675"/>
      <c r="J972" s="675"/>
      <c r="K972" s="675"/>
      <c r="L972" s="675"/>
      <c r="M972" s="675"/>
      <c r="N972" s="675"/>
      <c r="O972" s="675"/>
      <c r="P972" s="675"/>
      <c r="Q972" s="675"/>
      <c r="R972" s="675"/>
      <c r="S972" s="675"/>
      <c r="T972" s="675"/>
      <c r="U972" s="8"/>
      <c r="V972" s="8"/>
      <c r="W972" s="8"/>
      <c r="X972" s="8"/>
      <c r="Y972" s="8"/>
      <c r="Z972" s="8"/>
      <c r="AA972" s="8"/>
      <c r="AB972" s="8"/>
      <c r="AC972" s="8"/>
    </row>
    <row r="973" ht="12.75" customHeight="1" spans="1:29" x14ac:dyDescent="0.25">
      <c r="A973" s="8"/>
      <c r="B973" s="8"/>
      <c r="C973" s="8"/>
      <c r="D973" s="8"/>
      <c r="E973" s="8"/>
      <c r="F973" s="8"/>
      <c r="G973" s="8"/>
      <c r="H973" s="675"/>
      <c r="I973" s="675"/>
      <c r="J973" s="675"/>
      <c r="K973" s="675"/>
      <c r="L973" s="675"/>
      <c r="M973" s="675"/>
      <c r="N973" s="675"/>
      <c r="O973" s="675"/>
      <c r="P973" s="675"/>
      <c r="Q973" s="675"/>
      <c r="R973" s="675"/>
      <c r="S973" s="675"/>
      <c r="T973" s="675"/>
      <c r="U973" s="8"/>
      <c r="V973" s="8"/>
      <c r="W973" s="8"/>
      <c r="X973" s="8"/>
      <c r="Y973" s="8"/>
      <c r="Z973" s="8"/>
      <c r="AA973" s="8"/>
      <c r="AB973" s="8"/>
      <c r="AC973" s="8"/>
    </row>
    <row r="974" ht="12.75" customHeight="1" spans="1:29" x14ac:dyDescent="0.25">
      <c r="A974" s="8"/>
      <c r="B974" s="8"/>
      <c r="C974" s="8"/>
      <c r="D974" s="8"/>
      <c r="E974" s="8"/>
      <c r="F974" s="8"/>
      <c r="G974" s="8"/>
      <c r="H974" s="675"/>
      <c r="I974" s="675"/>
      <c r="J974" s="675"/>
      <c r="K974" s="675"/>
      <c r="L974" s="675"/>
      <c r="M974" s="675"/>
      <c r="N974" s="675"/>
      <c r="O974" s="675"/>
      <c r="P974" s="675"/>
      <c r="Q974" s="675"/>
      <c r="R974" s="675"/>
      <c r="S974" s="675"/>
      <c r="T974" s="675"/>
      <c r="U974" s="8"/>
      <c r="V974" s="8"/>
      <c r="W974" s="8"/>
      <c r="X974" s="8"/>
      <c r="Y974" s="8"/>
      <c r="Z974" s="8"/>
      <c r="AA974" s="8"/>
      <c r="AB974" s="8"/>
      <c r="AC974" s="8"/>
    </row>
    <row r="975" ht="12.75" customHeight="1" spans="1:29" x14ac:dyDescent="0.25">
      <c r="A975" s="8"/>
      <c r="B975" s="8"/>
      <c r="C975" s="8"/>
      <c r="D975" s="8"/>
      <c r="E975" s="8"/>
      <c r="F975" s="8"/>
      <c r="G975" s="8"/>
      <c r="H975" s="675"/>
      <c r="I975" s="675"/>
      <c r="J975" s="675"/>
      <c r="K975" s="675"/>
      <c r="L975" s="675"/>
      <c r="M975" s="675"/>
      <c r="N975" s="675"/>
      <c r="O975" s="675"/>
      <c r="P975" s="675"/>
      <c r="Q975" s="675"/>
      <c r="R975" s="675"/>
      <c r="S975" s="675"/>
      <c r="T975" s="675"/>
      <c r="U975" s="8"/>
      <c r="V975" s="8"/>
      <c r="W975" s="8"/>
      <c r="X975" s="8"/>
      <c r="Y975" s="8"/>
      <c r="Z975" s="8"/>
      <c r="AA975" s="8"/>
      <c r="AB975" s="8"/>
      <c r="AC975" s="8"/>
    </row>
    <row r="976" ht="12.75" customHeight="1" spans="1:29" x14ac:dyDescent="0.25">
      <c r="A976" s="8"/>
      <c r="B976" s="8"/>
      <c r="C976" s="8"/>
      <c r="D976" s="8"/>
      <c r="E976" s="8"/>
      <c r="F976" s="8"/>
      <c r="G976" s="8"/>
      <c r="H976" s="675"/>
      <c r="I976" s="675"/>
      <c r="J976" s="675"/>
      <c r="K976" s="675"/>
      <c r="L976" s="675"/>
      <c r="M976" s="675"/>
      <c r="N976" s="675"/>
      <c r="O976" s="675"/>
      <c r="P976" s="675"/>
      <c r="Q976" s="675"/>
      <c r="R976" s="675"/>
      <c r="S976" s="675"/>
      <c r="T976" s="675"/>
      <c r="U976" s="8"/>
      <c r="V976" s="8"/>
      <c r="W976" s="8"/>
      <c r="X976" s="8"/>
      <c r="Y976" s="8"/>
      <c r="Z976" s="8"/>
      <c r="AA976" s="8"/>
      <c r="AB976" s="8"/>
      <c r="AC976" s="8"/>
    </row>
    <row r="977" ht="12.75" customHeight="1" spans="1:29" x14ac:dyDescent="0.25">
      <c r="A977" s="8"/>
      <c r="B977" s="8"/>
      <c r="C977" s="8"/>
      <c r="D977" s="8"/>
      <c r="E977" s="8"/>
      <c r="F977" s="8"/>
      <c r="G977" s="8"/>
      <c r="H977" s="675"/>
      <c r="I977" s="675"/>
      <c r="J977" s="675"/>
      <c r="K977" s="675"/>
      <c r="L977" s="675"/>
      <c r="M977" s="675"/>
      <c r="N977" s="675"/>
      <c r="O977" s="675"/>
      <c r="P977" s="675"/>
      <c r="Q977" s="675"/>
      <c r="R977" s="675"/>
      <c r="S977" s="675"/>
      <c r="T977" s="675"/>
      <c r="U977" s="8"/>
      <c r="V977" s="8"/>
      <c r="W977" s="8"/>
      <c r="X977" s="8"/>
      <c r="Y977" s="8"/>
      <c r="Z977" s="8"/>
      <c r="AA977" s="8"/>
      <c r="AB977" s="8"/>
      <c r="AC977" s="8"/>
    </row>
    <row r="978" ht="12.75" customHeight="1" spans="1:29" x14ac:dyDescent="0.25">
      <c r="A978" s="8"/>
      <c r="B978" s="8"/>
      <c r="C978" s="8"/>
      <c r="D978" s="8"/>
      <c r="E978" s="8"/>
      <c r="F978" s="8"/>
      <c r="G978" s="8"/>
      <c r="H978" s="675"/>
      <c r="I978" s="675"/>
      <c r="J978" s="675"/>
      <c r="K978" s="675"/>
      <c r="L978" s="675"/>
      <c r="M978" s="675"/>
      <c r="N978" s="675"/>
      <c r="O978" s="675"/>
      <c r="P978" s="675"/>
      <c r="Q978" s="675"/>
      <c r="R978" s="675"/>
      <c r="S978" s="675"/>
      <c r="T978" s="675"/>
      <c r="U978" s="8"/>
      <c r="V978" s="8"/>
      <c r="W978" s="8"/>
      <c r="X978" s="8"/>
      <c r="Y978" s="8"/>
      <c r="Z978" s="8"/>
      <c r="AA978" s="8"/>
      <c r="AB978" s="8"/>
      <c r="AC978" s="8"/>
    </row>
    <row r="979" ht="12.75" customHeight="1" spans="1:29" x14ac:dyDescent="0.25">
      <c r="A979" s="8"/>
      <c r="B979" s="8"/>
      <c r="C979" s="8"/>
      <c r="D979" s="8"/>
      <c r="E979" s="8"/>
      <c r="F979" s="8"/>
      <c r="G979" s="8"/>
      <c r="H979" s="675"/>
      <c r="I979" s="675"/>
      <c r="J979" s="675"/>
      <c r="K979" s="675"/>
      <c r="L979" s="675"/>
      <c r="M979" s="675"/>
      <c r="N979" s="675"/>
      <c r="O979" s="675"/>
      <c r="P979" s="675"/>
      <c r="Q979" s="675"/>
      <c r="R979" s="675"/>
      <c r="S979" s="675"/>
      <c r="T979" s="675"/>
      <c r="U979" s="8"/>
      <c r="V979" s="8"/>
      <c r="W979" s="8"/>
      <c r="X979" s="8"/>
      <c r="Y979" s="8"/>
      <c r="Z979" s="8"/>
      <c r="AA979" s="8"/>
      <c r="AB979" s="8"/>
      <c r="AC979" s="8"/>
    </row>
    <row r="980" ht="12.75" customHeight="1" spans="1:29" x14ac:dyDescent="0.25">
      <c r="A980" s="8"/>
      <c r="B980" s="8"/>
      <c r="C980" s="8"/>
      <c r="D980" s="8"/>
      <c r="E980" s="8"/>
      <c r="F980" s="8"/>
      <c r="G980" s="8"/>
      <c r="H980" s="675"/>
      <c r="I980" s="675"/>
      <c r="J980" s="675"/>
      <c r="K980" s="675"/>
      <c r="L980" s="675"/>
      <c r="M980" s="675"/>
      <c r="N980" s="675"/>
      <c r="O980" s="675"/>
      <c r="P980" s="675"/>
      <c r="Q980" s="675"/>
      <c r="R980" s="675"/>
      <c r="S980" s="675"/>
      <c r="T980" s="675"/>
      <c r="U980" s="8"/>
      <c r="V980" s="8"/>
      <c r="W980" s="8"/>
      <c r="X980" s="8"/>
      <c r="Y980" s="8"/>
      <c r="Z980" s="8"/>
      <c r="AA980" s="8"/>
      <c r="AB980" s="8"/>
      <c r="AC980" s="8"/>
    </row>
    <row r="981" ht="12.75" customHeight="1" spans="1:29" x14ac:dyDescent="0.25">
      <c r="A981" s="8"/>
      <c r="B981" s="8"/>
      <c r="C981" s="8"/>
      <c r="D981" s="8"/>
      <c r="E981" s="8"/>
      <c r="F981" s="8"/>
      <c r="G981" s="8"/>
      <c r="H981" s="675"/>
      <c r="I981" s="675"/>
      <c r="J981" s="675"/>
      <c r="K981" s="675"/>
      <c r="L981" s="675"/>
      <c r="M981" s="675"/>
      <c r="N981" s="675"/>
      <c r="O981" s="675"/>
      <c r="P981" s="675"/>
      <c r="Q981" s="675"/>
      <c r="R981" s="675"/>
      <c r="S981" s="675"/>
      <c r="T981" s="675"/>
      <c r="U981" s="8"/>
      <c r="V981" s="8"/>
      <c r="W981" s="8"/>
      <c r="X981" s="8"/>
      <c r="Y981" s="8"/>
      <c r="Z981" s="8"/>
      <c r="AA981" s="8"/>
      <c r="AB981" s="8"/>
      <c r="AC981" s="8"/>
    </row>
    <row r="982" ht="12.75" customHeight="1" spans="1:29" x14ac:dyDescent="0.25">
      <c r="A982" s="8"/>
      <c r="B982" s="8"/>
      <c r="C982" s="8"/>
      <c r="D982" s="8"/>
      <c r="E982" s="8"/>
      <c r="F982" s="8"/>
      <c r="G982" s="8"/>
      <c r="H982" s="675"/>
      <c r="I982" s="675"/>
      <c r="J982" s="675"/>
      <c r="K982" s="675"/>
      <c r="L982" s="675"/>
      <c r="M982" s="675"/>
      <c r="N982" s="675"/>
      <c r="O982" s="675"/>
      <c r="P982" s="675"/>
      <c r="Q982" s="675"/>
      <c r="R982" s="675"/>
      <c r="S982" s="675"/>
      <c r="T982" s="675"/>
      <c r="U982" s="8"/>
      <c r="V982" s="8"/>
      <c r="W982" s="8"/>
      <c r="X982" s="8"/>
      <c r="Y982" s="8"/>
      <c r="Z982" s="8"/>
      <c r="AA982" s="8"/>
      <c r="AB982" s="8"/>
      <c r="AC982" s="8"/>
    </row>
    <row r="983" ht="12.75" customHeight="1" spans="1:29" x14ac:dyDescent="0.25">
      <c r="A983" s="8"/>
      <c r="B983" s="8"/>
      <c r="C983" s="8"/>
      <c r="D983" s="8"/>
      <c r="E983" s="8"/>
      <c r="F983" s="8"/>
      <c r="G983" s="8"/>
      <c r="H983" s="675"/>
      <c r="I983" s="675"/>
      <c r="J983" s="675"/>
      <c r="K983" s="675"/>
      <c r="L983" s="675"/>
      <c r="M983" s="675"/>
      <c r="N983" s="675"/>
      <c r="O983" s="675"/>
      <c r="P983" s="675"/>
      <c r="Q983" s="675"/>
      <c r="R983" s="675"/>
      <c r="S983" s="675"/>
      <c r="T983" s="675"/>
      <c r="U983" s="8"/>
      <c r="V983" s="8"/>
      <c r="W983" s="8"/>
      <c r="X983" s="8"/>
      <c r="Y983" s="8"/>
      <c r="Z983" s="8"/>
      <c r="AA983" s="8"/>
      <c r="AB983" s="8"/>
      <c r="AC983" s="8"/>
    </row>
    <row r="984" ht="12.75" customHeight="1" spans="1:29" x14ac:dyDescent="0.25">
      <c r="A984" s="8"/>
      <c r="B984" s="8"/>
      <c r="C984" s="8"/>
      <c r="D984" s="8"/>
      <c r="E984" s="8"/>
      <c r="F984" s="8"/>
      <c r="G984" s="8"/>
      <c r="H984" s="675"/>
      <c r="I984" s="675"/>
      <c r="J984" s="675"/>
      <c r="K984" s="675"/>
      <c r="L984" s="675"/>
      <c r="M984" s="675"/>
      <c r="N984" s="675"/>
      <c r="O984" s="675"/>
      <c r="P984" s="675"/>
      <c r="Q984" s="675"/>
      <c r="R984" s="675"/>
      <c r="S984" s="675"/>
      <c r="T984" s="675"/>
      <c r="U984" s="8"/>
      <c r="V984" s="8"/>
      <c r="W984" s="8"/>
      <c r="X984" s="8"/>
      <c r="Y984" s="8"/>
      <c r="Z984" s="8"/>
      <c r="AA984" s="8"/>
      <c r="AB984" s="8"/>
      <c r="AC984" s="8"/>
    </row>
    <row r="985" ht="12.75" customHeight="1" spans="1:29" x14ac:dyDescent="0.25">
      <c r="A985" s="8"/>
      <c r="B985" s="8"/>
      <c r="C985" s="8"/>
      <c r="D985" s="8"/>
      <c r="E985" s="8"/>
      <c r="F985" s="8"/>
      <c r="G985" s="8"/>
      <c r="H985" s="675"/>
      <c r="I985" s="675"/>
      <c r="J985" s="675"/>
      <c r="K985" s="675"/>
      <c r="L985" s="675"/>
      <c r="M985" s="675"/>
      <c r="N985" s="675"/>
      <c r="O985" s="675"/>
      <c r="P985" s="675"/>
      <c r="Q985" s="675"/>
      <c r="R985" s="675"/>
      <c r="S985" s="675"/>
      <c r="T985" s="675"/>
      <c r="U985" s="8"/>
      <c r="V985" s="8"/>
      <c r="W985" s="8"/>
      <c r="X985" s="8"/>
      <c r="Y985" s="8"/>
      <c r="Z985" s="8"/>
      <c r="AA985" s="8"/>
      <c r="AB985" s="8"/>
      <c r="AC985" s="8"/>
    </row>
    <row r="986" ht="12.75" customHeight="1" spans="1:29" x14ac:dyDescent="0.25">
      <c r="A986" s="8"/>
      <c r="B986" s="8"/>
      <c r="C986" s="8"/>
      <c r="D986" s="8"/>
      <c r="E986" s="8"/>
      <c r="F986" s="8"/>
      <c r="G986" s="8"/>
      <c r="H986" s="675"/>
      <c r="I986" s="675"/>
      <c r="J986" s="675"/>
      <c r="K986" s="675"/>
      <c r="L986" s="675"/>
      <c r="M986" s="675"/>
      <c r="N986" s="675"/>
      <c r="O986" s="675"/>
      <c r="P986" s="675"/>
      <c r="Q986" s="675"/>
      <c r="R986" s="675"/>
      <c r="S986" s="675"/>
      <c r="T986" s="675"/>
      <c r="U986" s="8"/>
      <c r="V986" s="8"/>
      <c r="W986" s="8"/>
      <c r="X986" s="8"/>
      <c r="Y986" s="8"/>
      <c r="Z986" s="8"/>
      <c r="AA986" s="8"/>
      <c r="AB986" s="8"/>
      <c r="AC986" s="8"/>
    </row>
    <row r="987" ht="12.75" customHeight="1" spans="1:29" x14ac:dyDescent="0.25">
      <c r="A987" s="8"/>
      <c r="B987" s="8"/>
      <c r="C987" s="8"/>
      <c r="D987" s="8"/>
      <c r="E987" s="8"/>
      <c r="F987" s="8"/>
      <c r="G987" s="8"/>
      <c r="H987" s="675"/>
      <c r="I987" s="675"/>
      <c r="J987" s="675"/>
      <c r="K987" s="675"/>
      <c r="L987" s="675"/>
      <c r="M987" s="675"/>
      <c r="N987" s="675"/>
      <c r="O987" s="675"/>
      <c r="P987" s="675"/>
      <c r="Q987" s="675"/>
      <c r="R987" s="675"/>
      <c r="S987" s="675"/>
      <c r="T987" s="675"/>
      <c r="U987" s="8"/>
      <c r="V987" s="8"/>
      <c r="W987" s="8"/>
      <c r="X987" s="8"/>
      <c r="Y987" s="8"/>
      <c r="Z987" s="8"/>
      <c r="AA987" s="8"/>
      <c r="AB987" s="8"/>
      <c r="AC987" s="8"/>
    </row>
    <row r="988" ht="12.75" customHeight="1" spans="1:29" x14ac:dyDescent="0.25">
      <c r="A988" s="8"/>
      <c r="B988" s="8"/>
      <c r="C988" s="8"/>
      <c r="D988" s="8"/>
      <c r="E988" s="8"/>
      <c r="F988" s="8"/>
      <c r="G988" s="8"/>
      <c r="H988" s="675"/>
      <c r="I988" s="675"/>
      <c r="J988" s="675"/>
      <c r="K988" s="675"/>
      <c r="L988" s="675"/>
      <c r="M988" s="675"/>
      <c r="N988" s="675"/>
      <c r="O988" s="675"/>
      <c r="P988" s="675"/>
      <c r="Q988" s="675"/>
      <c r="R988" s="675"/>
      <c r="S988" s="675"/>
      <c r="T988" s="675"/>
      <c r="U988" s="8"/>
      <c r="V988" s="8"/>
      <c r="W988" s="8"/>
      <c r="X988" s="8"/>
      <c r="Y988" s="8"/>
      <c r="Z988" s="8"/>
      <c r="AA988" s="8"/>
      <c r="AB988" s="8"/>
      <c r="AC988" s="8"/>
    </row>
    <row r="989" ht="12.75" customHeight="1" spans="1:29" x14ac:dyDescent="0.25">
      <c r="A989" s="8"/>
      <c r="B989" s="8"/>
      <c r="C989" s="8"/>
      <c r="D989" s="8"/>
      <c r="E989" s="8"/>
      <c r="F989" s="8"/>
      <c r="G989" s="8"/>
      <c r="H989" s="675"/>
      <c r="I989" s="675"/>
      <c r="J989" s="675"/>
      <c r="K989" s="675"/>
      <c r="L989" s="675"/>
      <c r="M989" s="675"/>
      <c r="N989" s="675"/>
      <c r="O989" s="675"/>
      <c r="P989" s="675"/>
      <c r="Q989" s="675"/>
      <c r="R989" s="675"/>
      <c r="S989" s="675"/>
      <c r="T989" s="675"/>
      <c r="U989" s="8"/>
      <c r="V989" s="8"/>
      <c r="W989" s="8"/>
      <c r="X989" s="8"/>
      <c r="Y989" s="8"/>
      <c r="Z989" s="8"/>
      <c r="AA989" s="8"/>
      <c r="AB989" s="8"/>
      <c r="AC989" s="8"/>
    </row>
    <row r="990" ht="12.75" customHeight="1" spans="1:29" x14ac:dyDescent="0.25">
      <c r="A990" s="8"/>
      <c r="B990" s="8"/>
      <c r="C990" s="8"/>
      <c r="D990" s="8"/>
      <c r="E990" s="8"/>
      <c r="F990" s="8"/>
      <c r="G990" s="8"/>
      <c r="H990" s="675"/>
      <c r="I990" s="675"/>
      <c r="J990" s="675"/>
      <c r="K990" s="675"/>
      <c r="L990" s="675"/>
      <c r="M990" s="675"/>
      <c r="N990" s="675"/>
      <c r="O990" s="675"/>
      <c r="P990" s="675"/>
      <c r="Q990" s="675"/>
      <c r="R990" s="675"/>
      <c r="S990" s="675"/>
      <c r="T990" s="675"/>
      <c r="U990" s="8"/>
      <c r="V990" s="8"/>
      <c r="W990" s="8"/>
      <c r="X990" s="8"/>
      <c r="Y990" s="8"/>
      <c r="Z990" s="8"/>
      <c r="AA990" s="8"/>
      <c r="AB990" s="8"/>
      <c r="AC990" s="8"/>
    </row>
    <row r="991" ht="12.75" customHeight="1" spans="1:29" x14ac:dyDescent="0.25">
      <c r="A991" s="8"/>
      <c r="B991" s="8"/>
      <c r="C991" s="8"/>
      <c r="D991" s="8"/>
      <c r="E991" s="8"/>
      <c r="F991" s="8"/>
      <c r="G991" s="8"/>
      <c r="H991" s="675"/>
      <c r="I991" s="675"/>
      <c r="J991" s="675"/>
      <c r="K991" s="675"/>
      <c r="L991" s="675"/>
      <c r="M991" s="675"/>
      <c r="N991" s="675"/>
      <c r="O991" s="675"/>
      <c r="P991" s="675"/>
      <c r="Q991" s="675"/>
      <c r="R991" s="675"/>
      <c r="S991" s="675"/>
      <c r="T991" s="675"/>
      <c r="U991" s="8"/>
      <c r="V991" s="8"/>
      <c r="W991" s="8"/>
      <c r="X991" s="8"/>
      <c r="Y991" s="8"/>
      <c r="Z991" s="8"/>
      <c r="AA991" s="8"/>
      <c r="AB991" s="8"/>
      <c r="AC991" s="8"/>
    </row>
    <row r="992" ht="12.75" customHeight="1" spans="1:29" x14ac:dyDescent="0.25">
      <c r="A992" s="8"/>
      <c r="B992" s="8"/>
      <c r="C992" s="8"/>
      <c r="D992" s="8"/>
      <c r="E992" s="8"/>
      <c r="F992" s="8"/>
      <c r="G992" s="8"/>
      <c r="H992" s="675"/>
      <c r="I992" s="675"/>
      <c r="J992" s="675"/>
      <c r="K992" s="675"/>
      <c r="L992" s="675"/>
      <c r="M992" s="675"/>
      <c r="N992" s="675"/>
      <c r="O992" s="675"/>
      <c r="P992" s="675"/>
      <c r="Q992" s="675"/>
      <c r="R992" s="675"/>
      <c r="S992" s="675"/>
      <c r="T992" s="675"/>
      <c r="U992" s="8"/>
      <c r="V992" s="8"/>
      <c r="W992" s="8"/>
      <c r="X992" s="8"/>
      <c r="Y992" s="8"/>
      <c r="Z992" s="8"/>
      <c r="AA992" s="8"/>
      <c r="AB992" s="8"/>
      <c r="AC992" s="8"/>
    </row>
    <row r="993" ht="12.75" customHeight="1" spans="1:29" x14ac:dyDescent="0.25">
      <c r="A993" s="8"/>
      <c r="B993" s="8"/>
      <c r="C993" s="8"/>
      <c r="D993" s="8"/>
      <c r="E993" s="8"/>
      <c r="F993" s="8"/>
      <c r="G993" s="8"/>
      <c r="H993" s="675"/>
      <c r="I993" s="675"/>
      <c r="J993" s="675"/>
      <c r="K993" s="675"/>
      <c r="L993" s="675"/>
      <c r="M993" s="675"/>
      <c r="N993" s="675"/>
      <c r="O993" s="675"/>
      <c r="P993" s="675"/>
      <c r="Q993" s="675"/>
      <c r="R993" s="675"/>
      <c r="S993" s="675"/>
      <c r="T993" s="675"/>
      <c r="U993" s="8"/>
      <c r="V993" s="8"/>
      <c r="W993" s="8"/>
      <c r="X993" s="8"/>
      <c r="Y993" s="8"/>
      <c r="Z993" s="8"/>
      <c r="AA993" s="8"/>
      <c r="AB993" s="8"/>
      <c r="AC993" s="8"/>
    </row>
    <row r="994" ht="12.75" customHeight="1" spans="1:29" x14ac:dyDescent="0.25">
      <c r="A994" s="8"/>
      <c r="B994" s="8"/>
      <c r="C994" s="8"/>
      <c r="D994" s="8"/>
      <c r="E994" s="8"/>
      <c r="F994" s="8"/>
      <c r="G994" s="8"/>
      <c r="H994" s="675"/>
      <c r="I994" s="675"/>
      <c r="J994" s="675"/>
      <c r="K994" s="675"/>
      <c r="L994" s="675"/>
      <c r="M994" s="675"/>
      <c r="N994" s="675"/>
      <c r="O994" s="675"/>
      <c r="P994" s="675"/>
      <c r="Q994" s="675"/>
      <c r="R994" s="675"/>
      <c r="S994" s="675"/>
      <c r="T994" s="675"/>
      <c r="U994" s="8"/>
      <c r="V994" s="8"/>
      <c r="W994" s="8"/>
      <c r="X994" s="8"/>
      <c r="Y994" s="8"/>
      <c r="Z994" s="8"/>
      <c r="AA994" s="8"/>
      <c r="AB994" s="8"/>
      <c r="AC994" s="8"/>
    </row>
    <row r="995" ht="12.75" customHeight="1" spans="1:29" x14ac:dyDescent="0.25">
      <c r="A995" s="8"/>
      <c r="B995" s="8"/>
      <c r="C995" s="8"/>
      <c r="D995" s="8"/>
      <c r="E995" s="8"/>
      <c r="F995" s="8"/>
      <c r="G995" s="8"/>
      <c r="H995" s="675"/>
      <c r="I995" s="675"/>
      <c r="J995" s="675"/>
      <c r="K995" s="675"/>
      <c r="L995" s="675"/>
      <c r="M995" s="675"/>
      <c r="N995" s="675"/>
      <c r="O995" s="675"/>
      <c r="P995" s="675"/>
      <c r="Q995" s="675"/>
      <c r="R995" s="675"/>
      <c r="S995" s="675"/>
      <c r="T995" s="675"/>
      <c r="U995" s="8"/>
      <c r="V995" s="8"/>
      <c r="W995" s="8"/>
      <c r="X995" s="8"/>
      <c r="Y995" s="8"/>
      <c r="Z995" s="8"/>
      <c r="AA995" s="8"/>
      <c r="AB995" s="8"/>
      <c r="AC995" s="8"/>
    </row>
    <row r="996" ht="12.75" customHeight="1" spans="1:29" x14ac:dyDescent="0.25">
      <c r="A996" s="8"/>
      <c r="B996" s="8"/>
      <c r="C996" s="8"/>
      <c r="D996" s="8"/>
      <c r="E996" s="8"/>
      <c r="F996" s="8"/>
      <c r="G996" s="8"/>
      <c r="H996" s="675"/>
      <c r="I996" s="675"/>
      <c r="J996" s="675"/>
      <c r="K996" s="675"/>
      <c r="L996" s="675"/>
      <c r="M996" s="675"/>
      <c r="N996" s="675"/>
      <c r="O996" s="675"/>
      <c r="P996" s="675"/>
      <c r="Q996" s="675"/>
      <c r="R996" s="675"/>
      <c r="S996" s="675"/>
      <c r="T996" s="675"/>
      <c r="U996" s="8"/>
      <c r="V996" s="8"/>
      <c r="W996" s="8"/>
      <c r="X996" s="8"/>
      <c r="Y996" s="8"/>
      <c r="Z996" s="8"/>
      <c r="AA996" s="8"/>
      <c r="AB996" s="8"/>
      <c r="AC996" s="8"/>
    </row>
    <row r="997" ht="12.75" customHeight="1" spans="1:29" x14ac:dyDescent="0.25">
      <c r="A997" s="8"/>
      <c r="B997" s="8"/>
      <c r="C997" s="8"/>
      <c r="D997" s="8"/>
      <c r="E997" s="8"/>
      <c r="F997" s="8"/>
      <c r="G997" s="8"/>
      <c r="H997" s="675"/>
      <c r="I997" s="675"/>
      <c r="J997" s="675"/>
      <c r="K997" s="675"/>
      <c r="L997" s="675"/>
      <c r="M997" s="675"/>
      <c r="N997" s="675"/>
      <c r="O997" s="675"/>
      <c r="P997" s="675"/>
      <c r="Q997" s="675"/>
      <c r="R997" s="675"/>
      <c r="S997" s="675"/>
      <c r="T997" s="675"/>
      <c r="U997" s="8"/>
      <c r="V997" s="8"/>
      <c r="W997" s="8"/>
      <c r="X997" s="8"/>
      <c r="Y997" s="8"/>
      <c r="Z997" s="8"/>
      <c r="AA997" s="8"/>
      <c r="AB997" s="8"/>
      <c r="AC997" s="8"/>
    </row>
    <row r="998" ht="12.75" customHeight="1" spans="1:29" x14ac:dyDescent="0.25">
      <c r="A998" s="8"/>
      <c r="B998" s="8"/>
      <c r="C998" s="8"/>
      <c r="D998" s="8"/>
      <c r="E998" s="8"/>
      <c r="F998" s="8"/>
      <c r="G998" s="8"/>
      <c r="H998" s="675"/>
      <c r="I998" s="675"/>
      <c r="J998" s="675"/>
      <c r="K998" s="675"/>
      <c r="L998" s="675"/>
      <c r="M998" s="675"/>
      <c r="N998" s="675"/>
      <c r="O998" s="675"/>
      <c r="P998" s="675"/>
      <c r="Q998" s="675"/>
      <c r="R998" s="675"/>
      <c r="S998" s="675"/>
      <c r="T998" s="675"/>
      <c r="U998" s="8"/>
      <c r="V998" s="8"/>
      <c r="W998" s="8"/>
      <c r="X998" s="8"/>
      <c r="Y998" s="8"/>
      <c r="Z998" s="8"/>
      <c r="AA998" s="8"/>
      <c r="AB998" s="8"/>
      <c r="AC998" s="8"/>
    </row>
    <row r="999" ht="12.75" customHeight="1" spans="1:29" x14ac:dyDescent="0.25">
      <c r="A999" s="8"/>
      <c r="B999" s="8"/>
      <c r="C999" s="8"/>
      <c r="D999" s="8"/>
      <c r="E999" s="8"/>
      <c r="F999" s="8"/>
      <c r="G999" s="8"/>
      <c r="H999" s="675"/>
      <c r="I999" s="675"/>
      <c r="J999" s="675"/>
      <c r="K999" s="675"/>
      <c r="L999" s="675"/>
      <c r="M999" s="675"/>
      <c r="N999" s="675"/>
      <c r="O999" s="675"/>
      <c r="P999" s="675"/>
      <c r="Q999" s="675"/>
      <c r="R999" s="675"/>
      <c r="S999" s="675"/>
      <c r="T999" s="675"/>
      <c r="U999" s="8"/>
      <c r="V999" s="8"/>
      <c r="W999" s="8"/>
      <c r="X999" s="8"/>
      <c r="Y999" s="8"/>
      <c r="Z999" s="8"/>
      <c r="AA999" s="8"/>
      <c r="AB999" s="8"/>
      <c r="AC999" s="8"/>
    </row>
    <row r="1000" ht="12.75" customHeight="1" spans="1:29" x14ac:dyDescent="0.25">
      <c r="A1000" s="8"/>
      <c r="B1000" s="8"/>
      <c r="C1000" s="8"/>
      <c r="D1000" s="8"/>
      <c r="E1000" s="8"/>
      <c r="F1000" s="8"/>
      <c r="G1000" s="8"/>
      <c r="H1000" s="675"/>
      <c r="I1000" s="675"/>
      <c r="J1000" s="675"/>
      <c r="K1000" s="675"/>
      <c r="L1000" s="675"/>
      <c r="M1000" s="675"/>
      <c r="N1000" s="675"/>
      <c r="O1000" s="675"/>
      <c r="P1000" s="675"/>
      <c r="Q1000" s="675"/>
      <c r="R1000" s="675"/>
      <c r="S1000" s="675"/>
      <c r="T1000" s="675"/>
      <c r="U1000" s="8"/>
      <c r="V1000" s="8"/>
      <c r="W1000" s="8"/>
      <c r="X1000" s="8"/>
      <c r="Y1000" s="8"/>
      <c r="Z1000" s="8"/>
      <c r="AA1000" s="8"/>
      <c r="AB1000" s="8"/>
      <c r="AC1000" s="8"/>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
      <c r="B1" s="1"/>
      <c r="C1" s="2" t="str">
        <f>Company_Name&amp;" - "&amp;MID(CELL("filename",A1),FIND("]",CELL("filename",A1))+1,255)&amp;": "&amp;Case_Scenario&amp;" Case"</f>
        <v>Republic Services, Inc. - WACC: Base Case</v>
      </c>
      <c r="D1" s="1"/>
      <c r="E1" s="1"/>
      <c r="F1" s="1"/>
      <c r="G1" s="1"/>
      <c r="H1" s="1"/>
      <c r="I1" s="1"/>
      <c r="J1" s="1"/>
      <c r="K1" s="1"/>
      <c r="L1" s="1"/>
      <c r="M1" s="1"/>
      <c r="N1" s="1"/>
      <c r="O1" s="1"/>
      <c r="P1" s="1"/>
      <c r="Q1" s="1"/>
      <c r="R1" s="1"/>
      <c r="S1" s="1"/>
      <c r="T1" s="1"/>
      <c r="U1" s="1"/>
      <c r="V1" s="1"/>
      <c r="W1" s="1"/>
      <c r="X1" s="1"/>
      <c r="Y1" s="1"/>
      <c r="Z1" s="1"/>
    </row>
    <row r="2" ht="13.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7"/>
      <c r="B3" s="8"/>
      <c r="C3" s="8"/>
      <c r="D3" s="8"/>
      <c r="E3" s="8"/>
      <c r="F3" s="8"/>
      <c r="G3" s="8"/>
      <c r="H3" s="8"/>
      <c r="I3" s="8"/>
      <c r="J3" s="8"/>
      <c r="K3" s="8"/>
      <c r="L3" s="8"/>
      <c r="M3" s="8"/>
      <c r="N3" s="8"/>
      <c r="O3" s="8"/>
      <c r="P3" s="8"/>
      <c r="Q3" s="8"/>
      <c r="R3" s="683"/>
      <c r="S3" s="8"/>
      <c r="T3" s="8"/>
      <c r="U3" s="8"/>
      <c r="V3" s="8"/>
      <c r="W3" s="8"/>
      <c r="X3" s="8"/>
      <c r="Y3" s="8"/>
      <c r="Z3" s="8"/>
    </row>
    <row r="4" ht="13.5" customHeight="1" spans="1:26" x14ac:dyDescent="0.25">
      <c r="A4" s="9" t="s">
        <v>3</v>
      </c>
      <c r="B4" s="8"/>
      <c r="C4" s="10" t="s">
        <v>850</v>
      </c>
      <c r="D4" s="11"/>
      <c r="E4" s="11"/>
      <c r="F4" s="11"/>
      <c r="G4" s="12"/>
      <c r="H4" s="8"/>
      <c r="I4" s="8"/>
      <c r="J4" s="10" t="s">
        <v>851</v>
      </c>
      <c r="K4" s="11"/>
      <c r="L4" s="11"/>
      <c r="M4" s="54" t="s">
        <v>852</v>
      </c>
      <c r="N4" s="54" t="s">
        <v>853</v>
      </c>
      <c r="O4" s="55" t="s">
        <v>854</v>
      </c>
      <c r="P4" s="8"/>
      <c r="Q4" s="181"/>
      <c r="R4" s="259" t="s">
        <v>0</v>
      </c>
      <c r="S4" s="180"/>
      <c r="T4" s="8"/>
      <c r="U4" s="8"/>
      <c r="V4" s="8"/>
      <c r="W4" s="8"/>
      <c r="X4" s="8"/>
      <c r="Y4" s="8"/>
      <c r="Z4" s="8"/>
    </row>
    <row r="5" ht="13.5" customHeight="1" spans="1:26" x14ac:dyDescent="0.25">
      <c r="A5" s="9"/>
      <c r="B5" s="8"/>
      <c r="C5" s="8"/>
      <c r="D5" s="8"/>
      <c r="E5" s="8"/>
      <c r="F5" s="8"/>
      <c r="G5" s="8"/>
      <c r="H5" s="8"/>
      <c r="I5" s="8"/>
      <c r="J5" s="8"/>
      <c r="K5" s="8"/>
      <c r="L5" s="8"/>
      <c r="M5" s="75"/>
      <c r="N5" s="75"/>
      <c r="O5" s="75"/>
      <c r="P5" s="8"/>
      <c r="Q5" s="181"/>
      <c r="R5" s="684" t="s">
        <v>2</v>
      </c>
      <c r="S5" s="8"/>
      <c r="T5" s="8"/>
      <c r="U5" s="8"/>
      <c r="V5" s="8"/>
      <c r="W5" s="8"/>
      <c r="X5" s="8"/>
      <c r="Y5" s="8"/>
      <c r="Z5" s="8"/>
    </row>
    <row r="6" ht="13.5" customHeight="1" spans="1:26" x14ac:dyDescent="0.25">
      <c r="A6" s="9"/>
      <c r="B6" s="8"/>
      <c r="C6" s="8" t="s">
        <v>855</v>
      </c>
      <c r="D6" s="8"/>
      <c r="E6" s="8"/>
      <c r="F6" s="8"/>
      <c r="G6" s="685">
        <v>0.04281</v>
      </c>
      <c r="H6" s="8"/>
      <c r="I6" s="8"/>
      <c r="J6" s="8" t="s">
        <v>856</v>
      </c>
      <c r="K6" s="8"/>
      <c r="L6" s="8"/>
      <c r="M6" s="686">
        <f>Model!V142+Model!V143</f>
        <v>0</v>
      </c>
      <c r="N6" s="576" t="e">
        <f>M6/$M$9</f>
        <v>#DIV/0!</v>
      </c>
      <c r="O6" s="576">
        <f>Cost_of_Debt</f>
        <v>0.034952000000000004</v>
      </c>
      <c r="P6" s="8"/>
      <c r="Q6" s="8"/>
      <c r="R6" s="123"/>
      <c r="S6" s="8"/>
      <c r="T6" s="8"/>
      <c r="U6" s="8"/>
      <c r="V6" s="8"/>
      <c r="W6" s="8"/>
      <c r="X6" s="8"/>
      <c r="Y6" s="8"/>
      <c r="Z6" s="8"/>
    </row>
    <row r="7" ht="13.5" customHeight="1" spans="1:26" x14ac:dyDescent="0.25">
      <c r="A7" s="9"/>
      <c r="B7" s="8"/>
      <c r="C7" s="8" t="s">
        <v>857</v>
      </c>
      <c r="D7" s="8"/>
      <c r="E7" s="8"/>
      <c r="F7" s="8"/>
      <c r="G7" s="685">
        <v>0.0418</v>
      </c>
      <c r="H7" s="8"/>
      <c r="I7" s="8"/>
      <c r="J7" s="8" t="s">
        <v>858</v>
      </c>
      <c r="K7" s="8"/>
      <c r="L7" s="8"/>
      <c r="M7" s="572">
        <f>Diluted_Shares*Share_Price</f>
        <v>0</v>
      </c>
      <c r="N7" s="687" t="e">
        <f>1-Weight_of_Debt-Weight_of_Preferred</f>
        <v>#DIV/0!</v>
      </c>
      <c r="O7" s="576">
        <f>Cost_of_Equity</f>
        <v>0.06371</v>
      </c>
      <c r="P7" s="8"/>
      <c r="Q7" s="8"/>
      <c r="R7" s="8"/>
      <c r="S7" s="8"/>
      <c r="T7" s="8"/>
      <c r="U7" s="8"/>
      <c r="V7" s="8"/>
      <c r="W7" s="8"/>
      <c r="X7" s="8"/>
      <c r="Y7" s="8"/>
      <c r="Z7" s="8"/>
    </row>
    <row r="8" ht="13.5" customHeight="1" spans="1:26" x14ac:dyDescent="0.25">
      <c r="A8" s="9"/>
      <c r="B8" s="8"/>
      <c r="C8" s="8" t="s">
        <v>859</v>
      </c>
      <c r="D8" s="8"/>
      <c r="E8" s="8"/>
      <c r="F8" s="8"/>
      <c r="G8" s="685">
        <v>0.0425</v>
      </c>
      <c r="H8" s="8"/>
      <c r="I8" s="8"/>
      <c r="J8" s="8" t="s">
        <v>860</v>
      </c>
      <c r="K8" s="8"/>
      <c r="L8" s="8"/>
      <c r="M8" s="688">
        <v>0</v>
      </c>
      <c r="N8" s="576" t="e">
        <f>M8/$M$9</f>
        <v>#DIV/0!</v>
      </c>
      <c r="O8" s="576">
        <f>Cost_of_Preferred</f>
        <v>0</v>
      </c>
      <c r="P8" s="8"/>
      <c r="Q8" s="8"/>
      <c r="R8" s="8"/>
      <c r="S8" s="8"/>
      <c r="T8" s="8"/>
      <c r="U8" s="8"/>
      <c r="V8" s="8"/>
      <c r="W8" s="8"/>
      <c r="X8" s="8"/>
      <c r="Y8" s="8"/>
      <c r="Z8" s="8"/>
    </row>
    <row r="9" ht="13.5" customHeight="1" spans="1:26" x14ac:dyDescent="0.25">
      <c r="A9" s="9"/>
      <c r="B9" s="8"/>
      <c r="C9" s="8" t="s">
        <v>861</v>
      </c>
      <c r="D9" s="8"/>
      <c r="E9" s="8"/>
      <c r="F9" s="8"/>
      <c r="G9" s="144">
        <f>Tax_Rate</f>
        <v>0.1776</v>
      </c>
      <c r="H9" s="8"/>
      <c r="I9" s="8"/>
      <c r="J9" s="123" t="s">
        <v>862</v>
      </c>
      <c r="K9" s="123"/>
      <c r="L9" s="123"/>
      <c r="M9" s="689">
        <f>SUM(M6:M8)</f>
        <v>0</v>
      </c>
      <c r="N9" s="690" t="e">
        <f>SUM(N6:N8)</f>
        <v>#DIV/0!</v>
      </c>
      <c r="O9" s="690" t="e">
        <f>SUMPRODUCT(N6:N8,O6:O8)</f>
        <v>#DIV/0!</v>
      </c>
      <c r="P9" s="8"/>
      <c r="Q9" s="8"/>
      <c r="R9" s="8"/>
      <c r="S9" s="8"/>
      <c r="T9" s="8"/>
      <c r="U9" s="8"/>
      <c r="V9" s="8"/>
      <c r="W9" s="8"/>
      <c r="X9" s="8"/>
      <c r="Y9" s="8"/>
      <c r="Z9" s="8"/>
    </row>
    <row r="10" ht="13.5" customHeight="1" spans="1:26" x14ac:dyDescent="0.25">
      <c r="A10" s="9"/>
      <c r="B10" s="8"/>
      <c r="C10" s="8" t="s">
        <v>863</v>
      </c>
      <c r="D10" s="8"/>
      <c r="E10" s="8"/>
      <c r="F10" s="8"/>
      <c r="G10" s="685">
        <v>0</v>
      </c>
      <c r="H10" s="8"/>
      <c r="I10" s="8"/>
      <c r="J10" s="8"/>
      <c r="K10" s="8"/>
      <c r="L10" s="8"/>
      <c r="M10" s="8"/>
      <c r="N10" s="8"/>
      <c r="O10" s="8"/>
      <c r="P10" s="8"/>
      <c r="Q10" s="8"/>
      <c r="R10" s="8"/>
      <c r="S10" s="8"/>
      <c r="T10" s="8"/>
      <c r="U10" s="8"/>
      <c r="V10" s="8"/>
      <c r="W10" s="8"/>
      <c r="X10" s="8"/>
      <c r="Y10" s="8"/>
      <c r="Z10" s="8"/>
    </row>
    <row r="11" ht="13.5" customHeight="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ht="13.5" customHeight="1" spans="1:26" x14ac:dyDescent="0.25">
      <c r="A12" s="9"/>
      <c r="B12" s="8"/>
      <c r="C12" s="8"/>
      <c r="D12" s="8"/>
      <c r="E12" s="8"/>
      <c r="F12" s="8"/>
      <c r="G12" s="691"/>
      <c r="H12" s="8"/>
      <c r="I12" s="8"/>
      <c r="J12" s="8"/>
      <c r="K12" s="8"/>
      <c r="L12" s="8"/>
      <c r="M12" s="8"/>
      <c r="N12" s="8"/>
      <c r="O12" s="8"/>
      <c r="P12" s="8"/>
      <c r="Q12" s="8"/>
      <c r="R12" s="8"/>
      <c r="S12" s="8"/>
      <c r="T12" s="8"/>
      <c r="U12" s="8"/>
      <c r="V12" s="8"/>
      <c r="W12" s="8"/>
      <c r="X12" s="8"/>
      <c r="Y12" s="8"/>
      <c r="Z12" s="8"/>
    </row>
    <row r="13" ht="13.5" customHeight="1" spans="1:26" x14ac:dyDescent="0.25">
      <c r="A13" s="9" t="s">
        <v>3</v>
      </c>
      <c r="B13" s="8"/>
      <c r="C13" s="10" t="s">
        <v>864</v>
      </c>
      <c r="D13" s="11"/>
      <c r="E13" s="11"/>
      <c r="F13" s="11"/>
      <c r="G13" s="12"/>
      <c r="H13" s="8"/>
      <c r="I13" s="8"/>
      <c r="J13" s="692" t="s">
        <v>865</v>
      </c>
      <c r="K13" s="693"/>
      <c r="L13" s="693"/>
      <c r="M13" s="693"/>
      <c r="N13" s="693"/>
      <c r="O13" s="694" t="e">
        <f>SUMPRODUCT($N$6:$N$8,$O$6:$O$8)</f>
        <v>#DIV/0!</v>
      </c>
      <c r="P13" s="8"/>
      <c r="Q13" s="8"/>
      <c r="R13" s="8"/>
      <c r="S13" s="8"/>
      <c r="T13" s="8"/>
      <c r="U13" s="8"/>
      <c r="V13" s="8"/>
      <c r="W13" s="8"/>
      <c r="X13" s="8"/>
      <c r="Y13" s="8"/>
      <c r="Z13" s="8"/>
    </row>
    <row r="14" ht="13.5" customHeight="1"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ht="13.5" customHeight="1" spans="1:26" x14ac:dyDescent="0.25">
      <c r="A15" s="9"/>
      <c r="B15" s="8"/>
      <c r="C15" s="8" t="s">
        <v>859</v>
      </c>
      <c r="D15" s="8"/>
      <c r="E15" s="8"/>
      <c r="F15" s="8"/>
      <c r="G15" s="685">
        <f>G8</f>
        <v>0.0425</v>
      </c>
      <c r="H15" s="8"/>
      <c r="I15" s="8"/>
      <c r="J15" s="8"/>
      <c r="K15" s="8"/>
      <c r="L15" s="8"/>
      <c r="M15" s="8"/>
      <c r="N15" s="8"/>
      <c r="O15" s="8"/>
      <c r="P15" s="8"/>
      <c r="Q15" s="8"/>
      <c r="R15" s="8"/>
      <c r="S15" s="8"/>
      <c r="T15" s="8"/>
      <c r="U15" s="8"/>
      <c r="V15" s="8"/>
      <c r="W15" s="8"/>
      <c r="X15" s="8"/>
      <c r="Y15" s="8"/>
      <c r="Z15" s="8"/>
    </row>
    <row r="16" ht="13.5" customHeight="1" spans="1:26" x14ac:dyDescent="0.25">
      <c r="A16" s="9"/>
      <c r="B16" s="8"/>
      <c r="C16" s="8" t="s">
        <v>866</v>
      </c>
      <c r="D16" s="8"/>
      <c r="E16" s="8"/>
      <c r="F16" s="8"/>
      <c r="G16" s="144">
        <f>Tax_Rate</f>
        <v>0.1776</v>
      </c>
      <c r="H16" s="8"/>
      <c r="I16" s="8"/>
      <c r="J16" s="8"/>
      <c r="K16" s="8"/>
      <c r="L16" s="8"/>
      <c r="M16" s="8"/>
      <c r="N16" s="8"/>
      <c r="O16" s="8"/>
      <c r="P16" s="8"/>
      <c r="Q16" s="8"/>
      <c r="R16" s="8"/>
      <c r="S16" s="8"/>
      <c r="T16" s="8"/>
      <c r="U16" s="8"/>
      <c r="V16" s="8"/>
      <c r="W16" s="8"/>
      <c r="X16" s="8"/>
      <c r="Y16" s="8"/>
      <c r="Z16" s="8"/>
    </row>
    <row r="17" ht="13.5" customHeight="1" spans="1:26" x14ac:dyDescent="0.25">
      <c r="A17" s="9"/>
      <c r="B17" s="8"/>
      <c r="C17" s="123" t="s">
        <v>867</v>
      </c>
      <c r="D17" s="123"/>
      <c r="E17" s="123"/>
      <c r="F17" s="123"/>
      <c r="G17" s="695">
        <f>G15*(1-G16)</f>
        <v>0.034952000000000004</v>
      </c>
      <c r="H17" s="8"/>
      <c r="I17" s="8"/>
      <c r="J17" s="8"/>
      <c r="K17" s="8"/>
      <c r="L17" s="8"/>
      <c r="M17" s="8"/>
      <c r="N17" s="8"/>
      <c r="O17" s="8"/>
      <c r="P17" s="8"/>
      <c r="Q17" s="8"/>
      <c r="R17" s="8"/>
      <c r="S17" s="8"/>
      <c r="T17" s="8"/>
      <c r="U17" s="8"/>
      <c r="V17" s="8"/>
      <c r="W17" s="8"/>
      <c r="X17" s="8"/>
      <c r="Y17" s="8"/>
      <c r="Z17" s="8"/>
    </row>
    <row r="18" ht="13.5" customHeight="1"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ht="13.5" customHeight="1"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ht="13.5" customHeight="1" spans="1:26" x14ac:dyDescent="0.25">
      <c r="A20" s="9" t="s">
        <v>3</v>
      </c>
      <c r="B20" s="8"/>
      <c r="C20" s="10" t="s">
        <v>868</v>
      </c>
      <c r="D20" s="11"/>
      <c r="E20" s="11"/>
      <c r="F20" s="11"/>
      <c r="G20" s="12"/>
      <c r="H20" s="8"/>
      <c r="I20" s="8"/>
      <c r="J20" s="10" t="s">
        <v>869</v>
      </c>
      <c r="K20" s="11"/>
      <c r="L20" s="11"/>
      <c r="M20" s="11"/>
      <c r="N20" s="11"/>
      <c r="O20" s="11"/>
      <c r="P20" s="12"/>
      <c r="Q20" s="696" t="e">
        <f>N26-Discount_Rate</f>
        <v>#DIV/0!</v>
      </c>
      <c r="R20" s="8"/>
      <c r="S20" s="8"/>
      <c r="T20" s="8"/>
      <c r="U20" s="8"/>
      <c r="V20" s="8"/>
      <c r="W20" s="8"/>
      <c r="X20" s="8"/>
      <c r="Y20" s="8"/>
      <c r="Z20" s="8"/>
    </row>
    <row r="21" ht="13.5" customHeight="1" spans="1:26" x14ac:dyDescent="0.25">
      <c r="A21" s="9"/>
      <c r="B21" s="8"/>
      <c r="C21" s="8"/>
      <c r="D21" s="8"/>
      <c r="E21" s="8"/>
      <c r="F21" s="8"/>
      <c r="G21" s="8"/>
      <c r="H21" s="8"/>
      <c r="I21" s="8"/>
      <c r="J21" s="40"/>
      <c r="K21" s="191"/>
      <c r="L21" s="75"/>
      <c r="M21" s="75"/>
      <c r="N21" s="75"/>
      <c r="O21" s="75"/>
      <c r="P21" s="75"/>
      <c r="Q21" s="8"/>
      <c r="R21" s="8"/>
      <c r="S21" s="8"/>
      <c r="T21" s="8"/>
      <c r="U21" s="8"/>
      <c r="V21" s="8"/>
      <c r="W21" s="8"/>
      <c r="X21" s="8"/>
      <c r="Y21" s="8"/>
      <c r="Z21" s="8"/>
    </row>
    <row r="22" ht="13.5" customHeight="1" spans="1:26" x14ac:dyDescent="0.25">
      <c r="A22" s="9"/>
      <c r="B22" s="8"/>
      <c r="C22" s="8" t="str">
        <f>C6</f>
        <v>Risk-Free Rate:</v>
      </c>
      <c r="D22" s="8"/>
      <c r="E22" s="8"/>
      <c r="F22" s="8"/>
      <c r="G22" s="685">
        <f>Risk_Free_Rate</f>
        <v>0.04281</v>
      </c>
      <c r="H22" s="8"/>
      <c r="I22" s="8"/>
      <c r="J22" s="618"/>
      <c r="K22" s="620"/>
      <c r="L22" s="620" t="s">
        <v>870</v>
      </c>
      <c r="M22" s="697"/>
      <c r="N22" s="697"/>
      <c r="O22" s="697"/>
      <c r="P22" s="697"/>
      <c r="Q22" s="8"/>
      <c r="R22" s="8"/>
      <c r="S22" s="8"/>
      <c r="T22" s="8"/>
      <c r="U22" s="8"/>
      <c r="V22" s="8"/>
      <c r="W22" s="8"/>
      <c r="X22" s="8"/>
      <c r="Y22" s="8"/>
      <c r="Z22" s="8"/>
    </row>
    <row r="23" ht="14.25" customHeight="1" spans="1:26" x14ac:dyDescent="0.25">
      <c r="A23" s="9"/>
      <c r="B23" s="8"/>
      <c r="C23" s="8" t="str">
        <f>C7</f>
        <v>Equity Risk Premium (ERP):</v>
      </c>
      <c r="D23" s="8"/>
      <c r="E23" s="8"/>
      <c r="F23" s="8"/>
      <c r="G23" s="685">
        <f>ERP</f>
        <v>0.0418</v>
      </c>
      <c r="H23" s="8"/>
      <c r="I23" s="8"/>
      <c r="J23" s="8"/>
      <c r="K23" s="698" t="e">
        <f>Discount_Rate</f>
        <v>#DIV/0!</v>
      </c>
      <c r="L23" s="699">
        <f>M23-$M$34</f>
        <v>0.03250000000000001</v>
      </c>
      <c r="M23" s="699">
        <f>N23-$M$34</f>
        <v>0.037500000000000006</v>
      </c>
      <c r="N23" s="700">
        <f>M33</f>
        <v>0.0425</v>
      </c>
      <c r="O23" s="699">
        <f>N23+$M$34</f>
        <v>0.0475</v>
      </c>
      <c r="P23" s="699">
        <f>O23+$M$34</f>
        <v>0.0525</v>
      </c>
      <c r="Q23" s="8"/>
      <c r="R23" s="8"/>
      <c r="S23" s="8"/>
      <c r="T23" s="8"/>
      <c r="U23" s="8"/>
      <c r="V23" s="8"/>
      <c r="W23" s="8"/>
      <c r="X23" s="8"/>
      <c r="Y23" s="8"/>
      <c r="Z23" s="8"/>
    </row>
    <row r="24" ht="14.25" customHeight="1" spans="1:26" x14ac:dyDescent="0.25">
      <c r="A24" s="9"/>
      <c r="B24" s="8"/>
      <c r="C24" s="122" t="s">
        <v>871</v>
      </c>
      <c r="D24" s="122"/>
      <c r="E24" s="122"/>
      <c r="F24" s="122"/>
      <c r="G24" s="701">
        <v>0.5</v>
      </c>
      <c r="H24" s="8"/>
      <c r="I24" s="8"/>
      <c r="J24" s="702" t="s">
        <v>872</v>
      </c>
      <c r="K24" s="703" t="e">
        <f>K25-$M$37</f>
        <v>#DIV/0!</v>
      </c>
      <c r="L24" s="704">
        <v>0.09173691560741139</v>
      </c>
      <c r="M24" s="705">
        <v>0.0920554875979049</v>
      </c>
      <c r="N24" s="705">
        <v>0.09237405958839841</v>
      </c>
      <c r="O24" s="705">
        <v>0.09269263157889192</v>
      </c>
      <c r="P24" s="706">
        <v>0.09301120356938543</v>
      </c>
      <c r="Q24" s="8"/>
      <c r="R24" s="8"/>
      <c r="S24" s="8"/>
      <c r="T24" s="8"/>
      <c r="U24" s="8"/>
      <c r="V24" s="8"/>
      <c r="W24" s="8"/>
      <c r="X24" s="8"/>
      <c r="Y24" s="8"/>
      <c r="Z24" s="8"/>
    </row>
    <row r="25" ht="13.5" customHeight="1" spans="1:26" x14ac:dyDescent="0.25">
      <c r="A25" s="9"/>
      <c r="B25" s="8"/>
      <c r="C25" s="8" t="s">
        <v>868</v>
      </c>
      <c r="D25" s="8"/>
      <c r="E25" s="8"/>
      <c r="F25" s="8"/>
      <c r="G25" s="685">
        <f>G22+G24*G23</f>
        <v>0.06371</v>
      </c>
      <c r="H25" s="8"/>
      <c r="I25" s="8"/>
      <c r="J25" s="707"/>
      <c r="K25" s="703" t="e">
        <f>K26-$M$37</f>
        <v>#DIV/0!</v>
      </c>
      <c r="L25" s="708">
        <v>0.08984062867163585</v>
      </c>
      <c r="M25" s="709">
        <v>0.09023308998403115</v>
      </c>
      <c r="N25" s="709">
        <v>0.09062555129642647</v>
      </c>
      <c r="O25" s="709">
        <v>0.09101801260882177</v>
      </c>
      <c r="P25" s="710">
        <v>0.09141047392121707</v>
      </c>
      <c r="Q25" s="8"/>
      <c r="R25" s="8"/>
      <c r="S25" s="8"/>
      <c r="T25" s="8"/>
      <c r="U25" s="8"/>
      <c r="V25" s="8"/>
      <c r="W25" s="8"/>
      <c r="X25" s="8"/>
      <c r="Y25" s="8"/>
      <c r="Z25" s="8"/>
    </row>
    <row r="26" ht="13.5" customHeight="1" spans="1:26" x14ac:dyDescent="0.25">
      <c r="A26" s="9"/>
      <c r="B26" s="8"/>
      <c r="C26" s="8"/>
      <c r="D26" s="8"/>
      <c r="E26" s="8"/>
      <c r="F26" s="8"/>
      <c r="G26" s="8"/>
      <c r="H26" s="8"/>
      <c r="I26" s="8"/>
      <c r="J26" s="707"/>
      <c r="K26" s="711" t="e">
        <f>M36</f>
        <v>#DIV/0!</v>
      </c>
      <c r="L26" s="708">
        <v>0.08794434173586034</v>
      </c>
      <c r="M26" s="709">
        <v>0.08841069237015745</v>
      </c>
      <c r="N26" s="709" t="e">
        <f>Discount_Rate</f>
        <v>#DIV/0!</v>
      </c>
      <c r="O26" s="709">
        <v>0.08934339363875164</v>
      </c>
      <c r="P26" s="710">
        <v>0.08980974427304873</v>
      </c>
      <c r="Q26" s="8"/>
      <c r="R26" s="8"/>
      <c r="S26" s="8"/>
      <c r="T26" s="8"/>
      <c r="U26" s="8"/>
      <c r="V26" s="8"/>
      <c r="W26" s="8"/>
      <c r="X26" s="8"/>
      <c r="Y26" s="8"/>
      <c r="Z26" s="8"/>
    </row>
    <row r="27" ht="13.5" customHeight="1" spans="1:26" x14ac:dyDescent="0.25">
      <c r="A27" s="9"/>
      <c r="B27" s="8"/>
      <c r="C27" s="8"/>
      <c r="D27" s="8"/>
      <c r="E27" s="8"/>
      <c r="F27" s="8"/>
      <c r="G27" s="8"/>
      <c r="H27" s="8"/>
      <c r="I27" s="8"/>
      <c r="J27" s="707"/>
      <c r="K27" s="703" t="e">
        <f>K26+$M$37</f>
        <v>#DIV/0!</v>
      </c>
      <c r="L27" s="708">
        <v>0.08604805480008482</v>
      </c>
      <c r="M27" s="709">
        <v>0.0865882947562837</v>
      </c>
      <c r="N27" s="709">
        <v>0.0871285347124826</v>
      </c>
      <c r="O27" s="709">
        <v>0.08766877466868148</v>
      </c>
      <c r="P27" s="710">
        <v>0.08820901462488037</v>
      </c>
      <c r="Q27" s="8"/>
      <c r="R27" s="8"/>
      <c r="S27" s="8"/>
      <c r="T27" s="8"/>
      <c r="U27" s="8"/>
      <c r="V27" s="8"/>
      <c r="W27" s="8"/>
      <c r="X27" s="8"/>
      <c r="Y27" s="8"/>
      <c r="Z27" s="8"/>
    </row>
    <row r="28" ht="13.5" customHeight="1" spans="1:26" x14ac:dyDescent="0.25">
      <c r="A28" s="9" t="s">
        <v>3</v>
      </c>
      <c r="B28" s="8"/>
      <c r="C28" s="10" t="str">
        <f>Company_Name&amp;" - Peer Group Unlevered Beta:"</f>
        <v>Republic Services, Inc. - Peer Group Unlevered Beta:</v>
      </c>
      <c r="D28" s="11"/>
      <c r="E28" s="11"/>
      <c r="F28" s="11"/>
      <c r="G28" s="12"/>
      <c r="H28" s="8"/>
      <c r="I28" s="8"/>
      <c r="J28" s="712"/>
      <c r="K28" s="703" t="e">
        <f>K27+$M$37</f>
        <v>#DIV/0!</v>
      </c>
      <c r="L28" s="713">
        <v>0.08415176786430928</v>
      </c>
      <c r="M28" s="714">
        <v>0.08476589714240997</v>
      </c>
      <c r="N28" s="714">
        <v>0.08538002642051064</v>
      </c>
      <c r="O28" s="714">
        <v>0.08599415569861132</v>
      </c>
      <c r="P28" s="715">
        <v>0.08660828497671201</v>
      </c>
      <c r="Q28" s="8"/>
      <c r="R28" s="8"/>
      <c r="S28" s="8"/>
      <c r="T28" s="8"/>
      <c r="U28" s="8"/>
      <c r="V28" s="8"/>
      <c r="W28" s="8"/>
      <c r="X28" s="8"/>
      <c r="Y28" s="8"/>
      <c r="Z28" s="8"/>
    </row>
    <row r="29" ht="13.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3.5" customHeight="1" spans="1:26" x14ac:dyDescent="0.25">
      <c r="A30" s="9"/>
      <c r="B30" s="8"/>
      <c r="C30" s="8"/>
      <c r="D30" s="75" t="s">
        <v>873</v>
      </c>
      <c r="E30" s="75" t="s">
        <v>874</v>
      </c>
      <c r="F30" s="75" t="s">
        <v>875</v>
      </c>
      <c r="G30" s="75" t="s">
        <v>876</v>
      </c>
      <c r="H30" s="8"/>
      <c r="I30" s="8"/>
      <c r="J30" s="8"/>
      <c r="K30" s="8"/>
      <c r="L30" s="8"/>
      <c r="M30" s="8"/>
      <c r="N30" s="8"/>
      <c r="O30" s="8"/>
      <c r="P30" s="8"/>
      <c r="Q30" s="8"/>
      <c r="R30" s="8"/>
      <c r="S30" s="8"/>
      <c r="T30" s="8"/>
      <c r="U30" s="8"/>
      <c r="V30" s="8"/>
      <c r="W30" s="8"/>
      <c r="X30" s="8"/>
      <c r="Y30" s="8"/>
      <c r="Z30" s="8"/>
    </row>
    <row r="31" ht="13.5" customHeight="1" spans="1:26" x14ac:dyDescent="0.25">
      <c r="A31" s="9"/>
      <c r="B31" s="8"/>
      <c r="C31" s="122" t="s">
        <v>629</v>
      </c>
      <c r="D31" s="202" t="s">
        <v>641</v>
      </c>
      <c r="E31" s="202" t="s">
        <v>646</v>
      </c>
      <c r="F31" s="202" t="s">
        <v>877</v>
      </c>
      <c r="G31" s="202" t="s">
        <v>641</v>
      </c>
      <c r="H31" s="8"/>
      <c r="I31" s="8"/>
      <c r="J31" s="83" t="s">
        <v>878</v>
      </c>
      <c r="K31" s="14"/>
      <c r="L31" s="14"/>
      <c r="M31" s="15"/>
      <c r="N31" s="8"/>
      <c r="O31" s="8"/>
      <c r="P31" s="8"/>
      <c r="Q31" s="8"/>
      <c r="R31" s="8"/>
      <c r="S31" s="8"/>
      <c r="T31" s="8"/>
      <c r="U31" s="8"/>
      <c r="V31" s="8"/>
      <c r="W31" s="8"/>
      <c r="X31" s="8"/>
      <c r="Y31" s="8"/>
      <c r="Z31" s="8"/>
    </row>
    <row r="32" ht="13.5" customHeight="1" spans="1:26" x14ac:dyDescent="0.25">
      <c r="A32" s="9"/>
      <c r="B32" s="8"/>
      <c r="C32" s="8"/>
      <c r="D32" s="226"/>
      <c r="E32" s="716"/>
      <c r="F32" s="716"/>
      <c r="G32" s="717"/>
      <c r="H32" s="8"/>
      <c r="I32" s="8"/>
      <c r="J32" s="8"/>
      <c r="K32" s="8"/>
      <c r="L32" s="8"/>
      <c r="M32" s="8"/>
      <c r="N32" s="8"/>
      <c r="O32" s="8"/>
      <c r="P32" s="8"/>
      <c r="Q32" s="8"/>
      <c r="R32" s="8"/>
      <c r="S32" s="8"/>
      <c r="T32" s="8"/>
      <c r="U32" s="8"/>
      <c r="V32" s="8"/>
      <c r="W32" s="8"/>
      <c r="X32" s="8"/>
      <c r="Y32" s="8"/>
      <c r="Z32" s="8"/>
    </row>
    <row r="33" ht="13.5" customHeight="1" spans="1:26" x14ac:dyDescent="0.25">
      <c r="A33" s="9"/>
      <c r="B33" s="8"/>
      <c r="C33" s="682" t="s">
        <v>879</v>
      </c>
      <c r="D33" s="718">
        <v>1.03</v>
      </c>
      <c r="E33" s="719">
        <v>0</v>
      </c>
      <c r="F33" s="720">
        <v>0.215</v>
      </c>
      <c r="G33" s="721">
        <f>IF(ISERROR(D33/(1+(1-F33)*E33)),"NA",(D33/(1+(1-F33)*E33)))</f>
        <v>1.03</v>
      </c>
      <c r="H33" s="8"/>
      <c r="I33" s="8"/>
      <c r="J33" s="8" t="s">
        <v>880</v>
      </c>
      <c r="K33" s="8"/>
      <c r="L33" s="8"/>
      <c r="M33" s="722">
        <f>G8</f>
        <v>0.0425</v>
      </c>
      <c r="N33" s="696">
        <f>M33-N23</f>
        <v>0</v>
      </c>
      <c r="O33" s="8"/>
      <c r="P33" s="8"/>
      <c r="Q33" s="8"/>
      <c r="R33" s="8"/>
      <c r="S33" s="8"/>
      <c r="T33" s="8"/>
      <c r="U33" s="8"/>
      <c r="V33" s="8"/>
      <c r="W33" s="8"/>
      <c r="X33" s="8"/>
      <c r="Y33" s="8"/>
      <c r="Z33" s="8"/>
    </row>
    <row r="34" ht="13.5" customHeight="1" spans="1:26" x14ac:dyDescent="0.25">
      <c r="A34" s="9"/>
      <c r="B34" s="8"/>
      <c r="C34" s="682" t="s">
        <v>881</v>
      </c>
      <c r="D34" s="718">
        <v>1.32</v>
      </c>
      <c r="E34" s="719">
        <v>0</v>
      </c>
      <c r="F34" s="720">
        <v>0.217</v>
      </c>
      <c r="G34" s="721">
        <f>IF(ISERROR(D34/(1+(1-F34)*E34)),"NA",(D34/(1+(1-F34)*E34)))</f>
        <v>1.32</v>
      </c>
      <c r="H34" s="8"/>
      <c r="I34" s="8"/>
      <c r="J34" s="8" t="s">
        <v>882</v>
      </c>
      <c r="K34" s="8"/>
      <c r="L34" s="8"/>
      <c r="M34" s="723">
        <v>0.005</v>
      </c>
      <c r="N34" s="8"/>
      <c r="O34" s="8"/>
      <c r="P34" s="8"/>
      <c r="Q34" s="8"/>
      <c r="R34" s="8"/>
      <c r="S34" s="8"/>
      <c r="T34" s="8"/>
      <c r="U34" s="8"/>
      <c r="V34" s="8"/>
      <c r="W34" s="8"/>
      <c r="X34" s="8"/>
      <c r="Y34" s="8"/>
      <c r="Z34" s="8"/>
    </row>
    <row r="35" ht="13.5" customHeight="1" spans="1:26" x14ac:dyDescent="0.25">
      <c r="A35" s="9"/>
      <c r="B35" s="8"/>
      <c r="C35" s="682" t="s">
        <v>883</v>
      </c>
      <c r="D35" s="718">
        <v>1.05</v>
      </c>
      <c r="E35" s="719">
        <v>0</v>
      </c>
      <c r="F35" s="720">
        <v>0.215</v>
      </c>
      <c r="G35" s="721">
        <f>IF(ISERROR(D35/(1+(1-F35)*E35)),"NA",(D35/(1+(1-F35)*E35)))</f>
        <v>1.05</v>
      </c>
      <c r="H35" s="8"/>
      <c r="I35" s="8"/>
      <c r="J35" s="8"/>
      <c r="K35" s="8"/>
      <c r="L35" s="8"/>
      <c r="M35" s="75"/>
      <c r="N35" s="8"/>
      <c r="O35" s="8"/>
      <c r="P35" s="8"/>
      <c r="Q35" s="8"/>
      <c r="R35" s="8"/>
      <c r="S35" s="8"/>
      <c r="T35" s="8"/>
      <c r="U35" s="8"/>
      <c r="V35" s="8"/>
      <c r="W35" s="8"/>
      <c r="X35" s="8"/>
      <c r="Y35" s="8"/>
      <c r="Z35" s="8"/>
    </row>
    <row r="36" ht="13.5" customHeight="1" spans="1:26" x14ac:dyDescent="0.25">
      <c r="A36" s="9"/>
      <c r="B36" s="8"/>
      <c r="C36" s="682" t="s">
        <v>884</v>
      </c>
      <c r="D36" s="718">
        <v>1.22</v>
      </c>
      <c r="E36" s="719">
        <v>0</v>
      </c>
      <c r="F36" s="720">
        <v>0.202</v>
      </c>
      <c r="G36" s="721">
        <f>IF(ISERROR(D36/(1+(1-F36)*E36)),"NA",(D36/(1+(1-F36)*E36)))</f>
        <v>1.22</v>
      </c>
      <c r="H36" s="8"/>
      <c r="I36" s="8"/>
      <c r="J36" s="8" t="s">
        <v>885</v>
      </c>
      <c r="K36" s="8"/>
      <c r="L36" s="8"/>
      <c r="M36" s="724" t="e">
        <f>Weight_of_Debt</f>
        <v>#DIV/0!</v>
      </c>
      <c r="N36" s="696" t="e">
        <f>M36-K26</f>
        <v>#DIV/0!</v>
      </c>
      <c r="O36" s="8"/>
      <c r="P36" s="8"/>
      <c r="Q36" s="8"/>
      <c r="R36" s="8"/>
      <c r="S36" s="8"/>
      <c r="T36" s="8"/>
      <c r="U36" s="8"/>
      <c r="V36" s="8"/>
      <c r="W36" s="8"/>
      <c r="X36" s="8"/>
      <c r="Y36" s="8"/>
      <c r="Z36" s="8"/>
    </row>
    <row r="37" ht="13.5" customHeight="1" spans="1:26" x14ac:dyDescent="0.25">
      <c r="A37" s="9"/>
      <c r="B37" s="8"/>
      <c r="C37" s="682" t="s">
        <v>886</v>
      </c>
      <c r="D37" s="718">
        <v>1.45</v>
      </c>
      <c r="E37" s="719">
        <v>0</v>
      </c>
      <c r="F37" s="720">
        <v>0.212</v>
      </c>
      <c r="G37" s="721">
        <f>IF(ISERROR(D37/(1+(1-F37)*E37)),"NA",(D37/(1+(1-F37)*E37)))</f>
        <v>1.45</v>
      </c>
      <c r="H37" s="8"/>
      <c r="I37" s="8"/>
      <c r="J37" s="8" t="s">
        <v>887</v>
      </c>
      <c r="K37" s="8"/>
      <c r="L37" s="8"/>
      <c r="M37" s="723">
        <v>0.01</v>
      </c>
      <c r="N37" s="8"/>
      <c r="O37" s="8"/>
      <c r="P37" s="8"/>
      <c r="Q37" s="8"/>
      <c r="R37" s="8"/>
      <c r="S37" s="8"/>
      <c r="T37" s="8"/>
      <c r="U37" s="8"/>
      <c r="V37" s="8"/>
      <c r="W37" s="8"/>
      <c r="X37" s="8"/>
      <c r="Y37" s="8"/>
      <c r="Z37" s="8"/>
    </row>
    <row r="38" ht="13.5" customHeight="1" spans="1:26" x14ac:dyDescent="0.25">
      <c r="A38" s="9"/>
      <c r="B38" s="8"/>
      <c r="C38" s="122"/>
      <c r="D38" s="725"/>
      <c r="E38" s="726"/>
      <c r="F38" s="727"/>
      <c r="G38" s="728"/>
      <c r="H38" s="8"/>
      <c r="I38" s="8"/>
      <c r="J38" s="8"/>
      <c r="K38" s="8"/>
      <c r="L38" s="8"/>
      <c r="M38" s="8"/>
      <c r="N38" s="8"/>
      <c r="O38" s="8"/>
      <c r="P38" s="8"/>
      <c r="Q38" s="8"/>
      <c r="R38" s="8"/>
      <c r="S38" s="8"/>
      <c r="T38" s="8"/>
      <c r="U38" s="8"/>
      <c r="V38" s="8"/>
      <c r="W38" s="8"/>
      <c r="X38" s="8"/>
      <c r="Y38" s="8"/>
      <c r="Z38" s="8"/>
    </row>
    <row r="39" ht="13.5" customHeight="1" spans="1:26" x14ac:dyDescent="0.25">
      <c r="A39" s="9"/>
      <c r="B39" s="8"/>
      <c r="C39" s="8" t="s">
        <v>888</v>
      </c>
      <c r="D39" s="721">
        <f>AVERAGE(D32:D38)</f>
        <v>1.214</v>
      </c>
      <c r="E39" s="571">
        <f>AVERAGE(E32:E38)</f>
        <v>0</v>
      </c>
      <c r="F39" s="576">
        <f>AVERAGE(F32:F38)</f>
        <v>0.2122</v>
      </c>
      <c r="G39" s="721">
        <f>AVERAGE(G32:G38)</f>
        <v>1.214</v>
      </c>
      <c r="H39" s="8"/>
      <c r="I39" s="8"/>
      <c r="J39" s="8"/>
      <c r="K39" s="8"/>
      <c r="L39" s="8"/>
      <c r="M39" s="8"/>
      <c r="N39" s="8"/>
      <c r="O39" s="8"/>
      <c r="P39" s="8"/>
      <c r="Q39" s="8"/>
      <c r="R39" s="8"/>
      <c r="S39" s="8"/>
      <c r="T39" s="8"/>
      <c r="U39" s="8"/>
      <c r="V39" s="8"/>
      <c r="W39" s="8"/>
      <c r="X39" s="8"/>
      <c r="Y39" s="8"/>
      <c r="Z39" s="8"/>
    </row>
    <row r="40" ht="13.5" customHeight="1" spans="1:26" x14ac:dyDescent="0.25">
      <c r="A40" s="9"/>
      <c r="B40" s="8"/>
      <c r="C40" s="8" t="s">
        <v>889</v>
      </c>
      <c r="D40" s="721">
        <f>MEDIAN(D32:D38)</f>
        <v>1.22</v>
      </c>
      <c r="E40" s="571">
        <f>MEDIAN(E32:E38)</f>
        <v>0</v>
      </c>
      <c r="F40" s="576">
        <f>MEDIAN(F32:F38)</f>
        <v>0.215</v>
      </c>
      <c r="G40" s="721">
        <f>MEDIAN(G32:G38)</f>
        <v>1.22</v>
      </c>
      <c r="H40" s="8"/>
      <c r="I40" s="8"/>
      <c r="J40" s="8"/>
      <c r="K40" s="8"/>
      <c r="L40" s="8"/>
      <c r="M40" s="8"/>
      <c r="N40" s="8"/>
      <c r="O40" s="8"/>
      <c r="P40" s="8"/>
      <c r="Q40" s="8"/>
      <c r="R40" s="8"/>
      <c r="S40" s="8"/>
      <c r="T40" s="8"/>
      <c r="U40" s="8"/>
      <c r="V40" s="8"/>
      <c r="W40" s="8"/>
      <c r="X40" s="8"/>
      <c r="Y40" s="8"/>
      <c r="Z40" s="8"/>
    </row>
    <row r="41" ht="13.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3.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3.5" customHeight="1" spans="1:26" x14ac:dyDescent="0.25">
      <c r="A43" s="9" t="s">
        <v>3</v>
      </c>
      <c r="B43" s="8"/>
      <c r="C43" s="10" t="str">
        <f>Company_Name&amp;" - Relevered Beta"</f>
        <v>Republic Services, Inc. - Relevered Beta</v>
      </c>
      <c r="D43" s="11"/>
      <c r="E43" s="11"/>
      <c r="F43" s="11"/>
      <c r="G43" s="12"/>
      <c r="H43" s="8"/>
      <c r="I43" s="8"/>
      <c r="J43" s="95" t="s">
        <v>890</v>
      </c>
      <c r="K43" s="78"/>
      <c r="L43" s="8"/>
      <c r="M43" s="8"/>
      <c r="N43" s="8"/>
      <c r="O43" s="8"/>
      <c r="P43" s="8"/>
      <c r="Q43" s="8"/>
      <c r="R43" s="8"/>
      <c r="S43" s="8"/>
      <c r="T43" s="8"/>
      <c r="U43" s="8"/>
      <c r="V43" s="8"/>
      <c r="W43" s="8"/>
      <c r="X43" s="8"/>
      <c r="Y43" s="8"/>
      <c r="Z43" s="8"/>
    </row>
    <row r="44" ht="13.5" customHeight="1" spans="1:26" x14ac:dyDescent="0.25">
      <c r="A44" s="9"/>
      <c r="B44" s="8"/>
      <c r="C44" s="8"/>
      <c r="D44" s="8"/>
      <c r="E44" s="8"/>
      <c r="F44" s="8"/>
      <c r="G44" s="8"/>
      <c r="H44" s="8"/>
      <c r="I44" s="8"/>
      <c r="J44" s="729" t="s">
        <v>891</v>
      </c>
      <c r="K44" s="15"/>
      <c r="L44" s="8"/>
      <c r="M44" s="8"/>
      <c r="N44" s="8"/>
      <c r="O44" s="8"/>
      <c r="P44" s="8"/>
      <c r="Q44" s="8"/>
      <c r="R44" s="8"/>
      <c r="S44" s="8"/>
      <c r="T44" s="8"/>
      <c r="U44" s="8"/>
      <c r="V44" s="8"/>
      <c r="W44" s="8"/>
      <c r="X44" s="8"/>
      <c r="Y44" s="8"/>
      <c r="Z44" s="8"/>
    </row>
    <row r="45" ht="13.5" customHeight="1" spans="1:26" x14ac:dyDescent="0.25">
      <c r="A45" s="9"/>
      <c r="B45" s="8"/>
      <c r="C45" s="8"/>
      <c r="D45" s="75" t="s">
        <v>892</v>
      </c>
      <c r="E45" s="75" t="s">
        <v>893</v>
      </c>
      <c r="F45" s="75" t="s">
        <v>875</v>
      </c>
      <c r="G45" s="75" t="s">
        <v>894</v>
      </c>
      <c r="H45" s="8"/>
      <c r="I45" s="8"/>
      <c r="J45" s="8"/>
      <c r="K45" s="8"/>
      <c r="L45" s="8"/>
      <c r="M45" s="8"/>
      <c r="N45" s="8"/>
      <c r="O45" s="8"/>
      <c r="P45" s="8"/>
      <c r="Q45" s="8"/>
      <c r="R45" s="8"/>
      <c r="S45" s="8"/>
      <c r="T45" s="8"/>
      <c r="U45" s="8"/>
      <c r="V45" s="8"/>
      <c r="W45" s="8"/>
      <c r="X45" s="8"/>
      <c r="Y45" s="8"/>
      <c r="Z45" s="8"/>
    </row>
    <row r="46" ht="13.5" customHeight="1" spans="1:26" x14ac:dyDescent="0.25">
      <c r="A46" s="9"/>
      <c r="B46" s="8"/>
      <c r="C46" s="8"/>
      <c r="D46" s="75" t="s">
        <v>641</v>
      </c>
      <c r="E46" s="75" t="s">
        <v>646</v>
      </c>
      <c r="F46" s="75" t="s">
        <v>877</v>
      </c>
      <c r="G46" s="75" t="s">
        <v>641</v>
      </c>
      <c r="H46" s="8"/>
      <c r="I46" s="8"/>
      <c r="J46" s="8"/>
      <c r="K46" s="8"/>
      <c r="L46" s="8"/>
      <c r="M46" s="8"/>
      <c r="N46" s="8"/>
      <c r="O46" s="8"/>
      <c r="P46" s="8"/>
      <c r="Q46" s="8"/>
      <c r="R46" s="8"/>
      <c r="S46" s="8"/>
      <c r="T46" s="8"/>
      <c r="U46" s="8"/>
      <c r="V46" s="8"/>
      <c r="W46" s="8"/>
      <c r="X46" s="8"/>
      <c r="Y46" s="8"/>
      <c r="Z46" s="8"/>
    </row>
    <row r="47" ht="13.5" customHeight="1" spans="1:26" x14ac:dyDescent="0.25">
      <c r="A47" s="9"/>
      <c r="B47" s="8"/>
      <c r="C47" s="229" t="s">
        <v>895</v>
      </c>
      <c r="D47" s="730">
        <f>G39</f>
        <v>1.214</v>
      </c>
      <c r="E47" s="731">
        <v>0</v>
      </c>
      <c r="F47" s="732">
        <f>Tax_Rate</f>
        <v>0.1776</v>
      </c>
      <c r="G47" s="733">
        <f>IF(ISERROR(D47*(1+(1-F47)*E47)),"NA",(D47*(1+(1-F47)*E47)))</f>
        <v>1.214</v>
      </c>
      <c r="H47" s="8"/>
      <c r="I47" s="8"/>
      <c r="J47" s="8"/>
      <c r="K47" s="8"/>
      <c r="L47" s="8"/>
      <c r="M47" s="8"/>
      <c r="N47" s="8"/>
      <c r="O47" s="8"/>
      <c r="P47" s="8"/>
      <c r="Q47" s="8"/>
      <c r="R47" s="8"/>
      <c r="S47" s="8"/>
      <c r="T47" s="8"/>
      <c r="U47" s="8"/>
      <c r="V47" s="8"/>
      <c r="W47" s="8"/>
      <c r="X47" s="8"/>
      <c r="Y47" s="8"/>
      <c r="Z47" s="8"/>
    </row>
    <row r="48" ht="13.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3.5" customHeight="1" spans="1:26" x14ac:dyDescent="0.25">
      <c r="A49" s="9"/>
      <c r="B49" s="8"/>
      <c r="C49" s="229" t="str">
        <f>Company_Name&amp;" Levered Beta"</f>
        <v>Republic Services, Inc. Levered Beta</v>
      </c>
      <c r="D49" s="734"/>
      <c r="E49" s="735"/>
      <c r="F49" s="735"/>
      <c r="G49" s="736">
        <f>Comparables!H28</f>
        <v>0.55394</v>
      </c>
      <c r="H49" s="8"/>
      <c r="I49" s="8"/>
      <c r="J49" s="8"/>
      <c r="K49" s="8"/>
      <c r="L49" s="8"/>
      <c r="M49" s="8"/>
      <c r="N49" s="8"/>
      <c r="O49" s="8"/>
      <c r="P49" s="8"/>
      <c r="Q49" s="8"/>
      <c r="R49" s="8"/>
      <c r="S49" s="8"/>
      <c r="T49" s="8"/>
      <c r="U49" s="8"/>
      <c r="V49" s="8"/>
      <c r="W49" s="8"/>
      <c r="X49" s="8"/>
      <c r="Y49" s="8"/>
      <c r="Z49" s="8"/>
    </row>
    <row r="50" ht="13.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3">
      <formula>$R$5="Report"</formula>
    </cfRule>
  </conditionalFormatting>
  <conditionalFormatting sqref="E47 G49">
    <cfRule type="expression" dxfId="23" priority="4">
      <formula>$R$5="Report"</formula>
    </cfRule>
  </conditionalFormatting>
  <conditionalFormatting sqref="G6:G8">
    <cfRule type="expression" dxfId="24" priority="1">
      <formula>$R$5="Working"</formula>
    </cfRule>
    <cfRule type="expression" dxfId="25" priority="2">
      <formula>$R$5="Report"</formula>
    </cfRule>
  </conditionalFormatting>
  <conditionalFormatting sqref="G9">
    <cfRule type="expression" dxfId="26" priority="7">
      <formula>$R$5="Working"</formula>
    </cfRule>
  </conditionalFormatting>
  <conditionalFormatting sqref="G9:G10">
    <cfRule type="expression" dxfId="27" priority="6">
      <formula>$R$5="Report"</formula>
    </cfRule>
  </conditionalFormatting>
  <conditionalFormatting sqref="G10">
    <cfRule type="expression" dxfId="28" priority="5">
      <formula>$R$5="Working"</formula>
    </cfRule>
  </conditionalFormatting>
  <conditionalFormatting sqref="M33:M34 M36:M37">
    <cfRule type="expression" dxfId="29" priority="8">
      <formula>$R$5="Report"</formula>
    </cfRule>
    <cfRule type="expression" dxfId="30" priority="9">
      <formula>$R$5="Working"</formula>
    </cfRule>
  </conditionalFormatting>
  <conditionalFormatting sqref="N33">
    <cfRule type="expression" dxfId="31" priority="10">
      <formula>$R$2="Report"</formula>
    </cfRule>
    <cfRule type="expression" dxfId="32" priority="11">
      <formula>N33&lt;&gt;0</formula>
    </cfRule>
    <cfRule type="expression" dxfId="33" priority="12">
      <formula>$AQ$2="Report"</formula>
    </cfRule>
  </conditionalFormatting>
  <conditionalFormatting sqref="N36">
    <cfRule type="expression" dxfId="34" priority="13">
      <formula>$R$2="Report"</formula>
    </cfRule>
    <cfRule type="expression" dxfId="35" priority="14">
      <formula>N36&lt;&gt;0</formula>
    </cfRule>
    <cfRule type="expression" dxfId="36" priority="15">
      <formula>$AQ$2="Report"</formula>
    </cfRule>
  </conditionalFormatting>
  <conditionalFormatting sqref="Q20">
    <cfRule type="expression" dxfId="37" priority="16">
      <formula>$R$2="Report"</formula>
    </cfRule>
    <cfRule type="expression" dxfId="38" priority="17">
      <formula>Q20&lt;&gt;0</formula>
    </cfRule>
    <cfRule type="expression" dxfId="39" priority="18">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7" width="25.33203125" customWidth="1"/>
    <col min="8" max="8" width="20.33203125" customWidth="1"/>
    <col min="9" max="10" width="16.33203125" customWidth="1"/>
    <col min="11" max="11" width="19.1640625" customWidth="1"/>
    <col min="12" max="12" width="2.5" customWidth="1"/>
    <col min="13" max="19" width="16.33203125" customWidth="1"/>
    <col min="20" max="21" width="1.6640625" customWidth="1"/>
    <col min="22" max="22" width="12.6640625" customWidth="1"/>
    <col min="23" max="23" width="15.6640625" customWidth="1"/>
    <col min="24" max="24" width="12.6640625" customWidth="1"/>
    <col min="25" max="29" width="12.6640625" hidden="1" outlineLevel="1" collapsed="1" customWidth="1"/>
    <col min="30" max="30" width="14.5" customWidth="1"/>
  </cols>
  <sheetData>
    <row r="1" ht="13.5" customHeight="1" spans="1:29" x14ac:dyDescent="0.25">
      <c r="A1" s="338"/>
      <c r="B1" s="1"/>
      <c r="C1" s="2" t="str">
        <f>Company_Name&amp;" - "&amp;MID(CELL("filename",A1),FIND("]",CELL("filename",A1))+1,255)&amp;": "&amp;Case_Scenario&amp;" Case"</f>
        <v>Republic Services, Inc. - Valuation: Base Case</v>
      </c>
      <c r="D1" s="1"/>
      <c r="E1" s="1"/>
      <c r="F1" s="1"/>
      <c r="G1" s="1"/>
      <c r="H1" s="1"/>
      <c r="I1" s="1"/>
      <c r="J1" s="1"/>
      <c r="K1" s="1"/>
      <c r="L1" s="1"/>
      <c r="M1" s="1"/>
      <c r="N1" s="1"/>
      <c r="O1" s="1"/>
      <c r="P1" s="1"/>
      <c r="Q1" s="1"/>
      <c r="R1" s="1"/>
      <c r="S1" s="3" t="s">
        <v>0</v>
      </c>
      <c r="T1" s="1"/>
      <c r="U1" s="1"/>
      <c r="V1" s="1"/>
      <c r="W1" s="1"/>
      <c r="X1" s="1"/>
      <c r="Y1" s="1"/>
      <c r="Z1" s="1"/>
      <c r="AA1" s="1"/>
      <c r="AB1" s="1"/>
      <c r="AC1" s="1"/>
    </row>
    <row r="2" ht="13.5" customHeight="1" spans="1:29" x14ac:dyDescent="0.25">
      <c r="A2" s="339"/>
      <c r="B2" s="4"/>
      <c r="C2" s="5" t="str">
        <f>Cover!C2</f>
        <v>$ in Millions Except Per Share Data</v>
      </c>
      <c r="D2" s="4"/>
      <c r="E2" s="4"/>
      <c r="F2" s="4"/>
      <c r="G2" s="4"/>
      <c r="H2" s="4"/>
      <c r="I2" s="4"/>
      <c r="J2" s="4"/>
      <c r="K2" s="4"/>
      <c r="L2" s="4"/>
      <c r="M2" s="4"/>
      <c r="N2" s="4"/>
      <c r="O2" s="4"/>
      <c r="P2" s="4"/>
      <c r="Q2" s="4"/>
      <c r="R2" s="4"/>
      <c r="S2" s="6" t="s">
        <v>2</v>
      </c>
      <c r="T2" s="4"/>
      <c r="U2" s="4"/>
      <c r="V2" s="4"/>
      <c r="W2" s="4"/>
      <c r="X2" s="4"/>
      <c r="Y2" s="4"/>
      <c r="Z2" s="4"/>
      <c r="AA2" s="4"/>
      <c r="AB2" s="4"/>
      <c r="AC2" s="4"/>
    </row>
    <row r="3" ht="13.5" customHeight="1" spans="1:29"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row>
    <row r="4" ht="13.5" customHeight="1" spans="1:29" x14ac:dyDescent="0.25">
      <c r="A4" s="257" t="s">
        <v>3</v>
      </c>
      <c r="B4" s="8"/>
      <c r="C4" s="102" t="s">
        <v>31</v>
      </c>
      <c r="D4" s="103"/>
      <c r="E4" s="103"/>
      <c r="F4" s="103"/>
      <c r="G4" s="103"/>
      <c r="H4" s="103"/>
      <c r="I4" s="103"/>
      <c r="J4" s="103"/>
      <c r="K4" s="103"/>
      <c r="L4" s="103"/>
      <c r="M4" s="103"/>
      <c r="N4" s="103"/>
      <c r="O4" s="103"/>
      <c r="P4" s="103"/>
      <c r="Q4" s="103"/>
      <c r="R4" s="103"/>
      <c r="S4" s="103"/>
      <c r="T4" s="257" t="s">
        <v>3</v>
      </c>
      <c r="U4" s="8"/>
      <c r="V4" s="8"/>
      <c r="W4" s="737" t="s">
        <v>896</v>
      </c>
      <c r="X4" s="738" t="str">
        <f>IF(SUM(M9:M22)=100%,"Good", "Check")</f>
        <v>Good</v>
      </c>
      <c r="Y4" s="8"/>
      <c r="Z4" s="8"/>
      <c r="AA4" s="8"/>
      <c r="AB4" s="8"/>
      <c r="AC4" s="8"/>
    </row>
    <row r="5" ht="4.5" customHeight="1" spans="1:2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row>
    <row r="6" ht="14.25" customHeight="1" spans="1:29" x14ac:dyDescent="0.25">
      <c r="A6" s="8"/>
      <c r="B6" s="8"/>
      <c r="C6" s="729" t="s">
        <v>415</v>
      </c>
      <c r="D6" s="100" t="s">
        <v>897</v>
      </c>
      <c r="E6" s="100" t="s">
        <v>898</v>
      </c>
      <c r="F6" s="739" t="s">
        <v>899</v>
      </c>
      <c r="G6" s="740" t="s">
        <v>900</v>
      </c>
      <c r="H6" s="8"/>
      <c r="I6" s="8"/>
      <c r="J6" s="8"/>
      <c r="K6" s="8"/>
      <c r="L6" s="8"/>
      <c r="M6" s="741" t="s">
        <v>901</v>
      </c>
      <c r="N6" s="742"/>
      <c r="O6" s="742"/>
      <c r="P6" s="742"/>
      <c r="Q6" s="742"/>
      <c r="R6" s="742"/>
      <c r="S6" s="173"/>
      <c r="T6" s="8"/>
      <c r="U6" s="8"/>
      <c r="V6" s="8"/>
      <c r="W6" s="8"/>
      <c r="X6" s="8"/>
      <c r="Y6" s="8"/>
      <c r="Z6" s="8"/>
      <c r="AA6" s="8"/>
      <c r="AB6" s="8"/>
      <c r="AC6" s="8"/>
    </row>
    <row r="7" ht="14.25" customHeight="1" spans="1:29" x14ac:dyDescent="0.25">
      <c r="A7" s="8"/>
      <c r="B7" s="8"/>
      <c r="C7" s="743">
        <f>Diluted_Shares</f>
        <v>0</v>
      </c>
      <c r="D7" s="744">
        <f>Share_Price</f>
        <v>206.55</v>
      </c>
      <c r="E7" s="745">
        <f>C7*D7</f>
        <v>0</v>
      </c>
      <c r="F7" s="745">
        <f>Model!V143-Model!V123</f>
        <v>0</v>
      </c>
      <c r="G7" s="745">
        <f>SUM(E7:F7)</f>
        <v>0</v>
      </c>
      <c r="H7" s="8"/>
      <c r="I7" s="8"/>
      <c r="J7" s="8"/>
      <c r="K7" s="8"/>
      <c r="L7" s="8"/>
      <c r="M7" s="729"/>
      <c r="N7" s="100" t="s">
        <v>902</v>
      </c>
      <c r="O7" s="100"/>
      <c r="P7" s="100"/>
      <c r="Q7" s="100"/>
      <c r="R7" s="100" t="s">
        <v>903</v>
      </c>
      <c r="S7" s="38" t="s">
        <v>904</v>
      </c>
      <c r="T7" s="8"/>
      <c r="U7" s="8"/>
      <c r="V7" s="8"/>
      <c r="W7" s="8"/>
      <c r="X7" s="8"/>
      <c r="Y7" s="8"/>
      <c r="Z7" s="8"/>
      <c r="AA7" s="8"/>
      <c r="AB7" s="8"/>
      <c r="AC7" s="8"/>
    </row>
    <row r="8" ht="14.25" customHeight="1" spans="1:29" x14ac:dyDescent="0.25">
      <c r="A8" s="8"/>
      <c r="B8" s="8"/>
      <c r="C8" s="8"/>
      <c r="D8" s="8"/>
      <c r="E8" s="8"/>
      <c r="F8" s="8"/>
      <c r="G8" s="8"/>
      <c r="H8" s="8"/>
      <c r="I8" s="8"/>
      <c r="J8" s="8"/>
      <c r="K8" s="8"/>
      <c r="L8" s="8"/>
      <c r="M8" s="8"/>
      <c r="N8" s="256" t="s">
        <v>905</v>
      </c>
      <c r="O8" s="8"/>
      <c r="P8" s="8"/>
      <c r="Q8" s="8"/>
      <c r="R8" s="746"/>
      <c r="S8" s="199"/>
      <c r="T8" s="8"/>
      <c r="U8" s="8"/>
      <c r="V8" s="8"/>
      <c r="W8" s="8"/>
      <c r="X8" s="8"/>
      <c r="Y8" s="8"/>
      <c r="Z8" s="8"/>
      <c r="AA8" s="8"/>
      <c r="AB8" s="8"/>
      <c r="AC8" s="8"/>
    </row>
    <row r="9" ht="14.25" customHeight="1" spans="1:29" x14ac:dyDescent="0.25">
      <c r="A9" s="8"/>
      <c r="B9" s="747" t="str">
        <f>C9</f>
        <v>Primary Peer Group</v>
      </c>
      <c r="C9" s="741" t="str">
        <f>'Multiples Data'!L4</f>
        <v>Primary Peer Group</v>
      </c>
      <c r="D9" s="742"/>
      <c r="E9" s="742"/>
      <c r="F9" s="742"/>
      <c r="G9" s="742"/>
      <c r="H9" s="742"/>
      <c r="I9" s="742"/>
      <c r="J9" s="742"/>
      <c r="K9" s="8"/>
      <c r="L9" s="8"/>
      <c r="M9" s="748">
        <v>0</v>
      </c>
      <c r="N9" s="111" t="s">
        <v>145</v>
      </c>
      <c r="O9" s="8"/>
      <c r="P9" s="8"/>
      <c r="Q9" s="8"/>
      <c r="R9" s="746">
        <f>K76</f>
        <v>245.8672844382982</v>
      </c>
      <c r="S9" s="199">
        <f>R9/Share_Price-1</f>
        <v>0.19035238169110724</v>
      </c>
      <c r="T9" s="8"/>
      <c r="U9" s="8"/>
      <c r="V9" s="8"/>
      <c r="W9" s="8"/>
      <c r="X9" s="8"/>
      <c r="Y9" s="8"/>
      <c r="Z9" s="8"/>
      <c r="AA9" s="8"/>
      <c r="AB9" s="8"/>
      <c r="AC9" s="8"/>
    </row>
    <row r="10" ht="14.25" customHeight="1" spans="1:29" x14ac:dyDescent="0.25">
      <c r="A10" s="8"/>
      <c r="B10" s="747">
        <f>C14</f>
        <v>0</v>
      </c>
      <c r="C10" s="391"/>
      <c r="D10" s="749" t="str">
        <f>Ticker</f>
        <v>RSG</v>
      </c>
      <c r="E10" s="749" t="s">
        <v>149</v>
      </c>
      <c r="F10" s="750" t="str">
        <f>'Multiples Data'!M$6</f>
        <v>Waste Management, Inc.</v>
      </c>
      <c r="G10" s="750" t="str">
        <f>'Multiples Data'!N$6</f>
        <v>Waste Connections, Inc.</v>
      </c>
      <c r="H10" s="750" t="str">
        <f>'Multiples Data'!O$6</f>
        <v>GFL Environmental Inc.</v>
      </c>
      <c r="I10" s="750" t="str">
        <f>'Multiples Data'!P$6</f>
        <v>Casella Waste Systems, Inc.</v>
      </c>
      <c r="J10" s="750" t="str">
        <f>'Multiples Data'!Q$6</f>
        <v>Clean Harbors, Inc.</v>
      </c>
      <c r="K10" s="8"/>
      <c r="L10" s="8"/>
      <c r="M10" s="748">
        <v>1</v>
      </c>
      <c r="N10" s="111" t="s">
        <v>906</v>
      </c>
      <c r="O10" s="8"/>
      <c r="P10" s="8"/>
      <c r="Q10" s="8"/>
      <c r="R10" s="746">
        <f>$S$76</f>
        <v>266.5221615463226</v>
      </c>
      <c r="S10" s="199">
        <f>R10/Share_Price-1</f>
        <v>0.29035178671664275</v>
      </c>
      <c r="T10" s="8"/>
      <c r="U10" s="8"/>
      <c r="V10" s="8"/>
      <c r="W10" s="8"/>
      <c r="X10" s="8"/>
      <c r="Y10" s="8"/>
      <c r="Z10" s="8"/>
      <c r="AA10" s="8"/>
      <c r="AB10" s="8"/>
      <c r="AC10" s="8"/>
    </row>
    <row r="11" ht="14.25" customHeight="1" hidden="1" spans="1:29" x14ac:dyDescent="0.25">
      <c r="A11" s="8"/>
      <c r="B11" s="747">
        <f>C19</f>
        <v>0</v>
      </c>
      <c r="C11" s="75" t="s">
        <v>135</v>
      </c>
      <c r="D11" s="751">
        <f>IF($D$24="LTM",'Multiples Data'!L$87,IF($D$24="NTM",'Multiples Data'!R$87,"N/A"))</f>
        <v>29.9280446457396</v>
      </c>
      <c r="E11" s="752">
        <f>AVERAGE(F11:J11)</f>
        <v>44.00713824715302</v>
      </c>
      <c r="F11" s="753">
        <f>IF($D$24="LTM",'Multiples Data'!M$87,IF($D$24="NTM",'Multiples Data'!S$87,"N/A"))</f>
        <v>27.6290436511656</v>
      </c>
      <c r="G11" s="753">
        <f>IF($D$24="LTM",'Multiples Data'!N$87,IF($D$24="NTM",'Multiples Data'!T$87,"N/A"))</f>
        <v>30.0458749215257</v>
      </c>
      <c r="H11" s="753">
        <f>IF($D$24="LTM",'Multiples Data'!O$87,IF($D$24="NTM",'Multiples Data'!U$87,"N/A"))</f>
        <v>53.4973929541704</v>
      </c>
      <c r="I11" s="753">
        <f>IF($D$24="LTM",'Multiples Data'!P$87,IF($D$24="NTM",'Multiples Data'!V$87,"N/A"))</f>
        <v>76.2166673358907</v>
      </c>
      <c r="J11" s="753">
        <f>IF($D$24="LTM",'Multiples Data'!Q$87,IF($D$24="NTM",'Multiples Data'!W$87,"N/A"))</f>
        <v>32.6467123730127</v>
      </c>
      <c r="K11" s="8"/>
      <c r="L11" s="8"/>
      <c r="M11" s="8"/>
      <c r="N11" s="256" t="s">
        <v>907</v>
      </c>
      <c r="O11" s="8"/>
      <c r="P11" s="8"/>
      <c r="Q11" s="8"/>
      <c r="R11" s="746"/>
      <c r="S11" s="199"/>
      <c r="T11" s="8"/>
      <c r="U11" s="8"/>
      <c r="V11" s="8"/>
      <c r="W11" s="8"/>
      <c r="X11" s="8"/>
      <c r="Y11" s="8"/>
      <c r="Z11" s="8"/>
      <c r="AA11" s="8"/>
      <c r="AB11" s="8"/>
      <c r="AC11" s="8"/>
    </row>
    <row r="12" ht="14.25" customHeight="1" hidden="1" spans="1:29" x14ac:dyDescent="0.25">
      <c r="A12" s="8"/>
      <c r="B12" s="747" t="str">
        <f>Company_Name</f>
        <v>Republic Services, Inc.</v>
      </c>
      <c r="C12" s="75" t="s">
        <v>137</v>
      </c>
      <c r="D12" s="754">
        <f>IF($D$24="LTM",'Multiples Data'!X$87,IF($D$24="NTM",'Multiples Data'!AD$87,"N/A"))</f>
        <v>14.5160559134403</v>
      </c>
      <c r="E12" s="755">
        <f>AVERAGE(F12:J12)</f>
        <v>14.46947106879492</v>
      </c>
      <c r="F12" s="753">
        <f>IF($D$24="LTM",'Multiples Data'!Y$87,IF($D$24="NTM",'Multiples Data'!AE$87,"N/A"))</f>
        <v>13.9101804376811</v>
      </c>
      <c r="G12" s="753">
        <f>IF($D$24="LTM",'Multiples Data'!Z$87,IF($D$24="NTM",'Multiples Data'!AF$87,"N/A"))</f>
        <v>15.6178850706967</v>
      </c>
      <c r="H12" s="753">
        <f>IF($D$24="LTM",'Multiples Data'!AA$87,IF($D$24="NTM",'Multiples Data'!AG$87,"N/A"))</f>
        <v>13.1872101161523</v>
      </c>
      <c r="I12" s="753">
        <f>IF($D$24="LTM",'Multiples Data'!AB$87,IF($D$24="NTM",'Multiples Data'!AH$87,"N/A"))</f>
        <v>16.5707013632094</v>
      </c>
      <c r="J12" s="753">
        <f>IF($D$24="LTM",'Multiples Data'!AC$87,IF($D$24="NTM",'Multiples Data'!AI$87,"N/A"))</f>
        <v>13.0613783562351</v>
      </c>
      <c r="K12" s="8"/>
      <c r="L12" s="8"/>
      <c r="M12" s="748">
        <v>0</v>
      </c>
      <c r="N12" s="111" t="str">
        <f>$G$144&amp;" P/E"</f>
        <v>NTM P/E</v>
      </c>
      <c r="O12" s="8"/>
      <c r="P12" s="8"/>
      <c r="Q12" s="8"/>
      <c r="R12" s="746" t="e">
        <f>$F$126</f>
        <v>#DIV/0!</v>
      </c>
      <c r="S12" s="199" t="e">
        <f>R12/Share_Price-1</f>
        <v>#DIV/0!</v>
      </c>
      <c r="T12" s="8"/>
      <c r="U12" s="8"/>
      <c r="V12" s="8"/>
      <c r="W12" s="8"/>
      <c r="X12" s="8"/>
      <c r="Y12" s="8"/>
      <c r="Z12" s="8"/>
      <c r="AA12" s="8"/>
      <c r="AB12" s="8"/>
      <c r="AC12" s="8"/>
    </row>
    <row r="13" ht="14.25" customHeight="1" hidden="1" spans="1:29" x14ac:dyDescent="0.25">
      <c r="A13" s="8"/>
      <c r="B13" s="8"/>
      <c r="C13" s="8"/>
      <c r="D13" s="8"/>
      <c r="E13" s="8"/>
      <c r="F13" s="8"/>
      <c r="G13" s="8"/>
      <c r="H13" s="8"/>
      <c r="I13" s="8"/>
      <c r="J13" s="8"/>
      <c r="K13" s="8"/>
      <c r="L13" s="8"/>
      <c r="M13" s="748">
        <v>0</v>
      </c>
      <c r="N13" s="111" t="str">
        <f>$G$144&amp;" P/E Spread to Comps"</f>
        <v>NTM P/E Spread to Comps</v>
      </c>
      <c r="O13" s="8"/>
      <c r="P13" s="8"/>
      <c r="Q13" s="8"/>
      <c r="R13" s="746" t="e">
        <f>$J$126</f>
        <v>#DIV/0!</v>
      </c>
      <c r="S13" s="199" t="e">
        <f>R13/Share_Price-1</f>
        <v>#DIV/0!</v>
      </c>
      <c r="T13" s="8"/>
      <c r="U13" s="8"/>
      <c r="V13" s="8"/>
      <c r="W13" s="8"/>
      <c r="X13" s="8"/>
      <c r="Y13" s="8"/>
      <c r="Z13" s="8"/>
      <c r="AA13" s="8"/>
      <c r="AB13" s="8"/>
      <c r="AC13" s="8"/>
    </row>
    <row r="14" ht="14.25" customHeight="1" hidden="1" spans="1:29" x14ac:dyDescent="0.25">
      <c r="A14" s="8"/>
      <c r="B14" s="8"/>
      <c r="K14" s="8"/>
      <c r="L14" s="8"/>
      <c r="M14" s="748">
        <v>0</v>
      </c>
      <c r="N14" s="111" t="str">
        <f>$G$144&amp;" EV/EBITDA"</f>
        <v>NTM EV/EBITDA</v>
      </c>
      <c r="O14" s="8"/>
      <c r="P14" s="8"/>
      <c r="Q14" s="8"/>
      <c r="R14" s="746">
        <f>$O$137</f>
        <v>230.3544547894916</v>
      </c>
      <c r="S14" s="199">
        <f>R14/Share_Price-1</f>
        <v>0.11524790505684623</v>
      </c>
      <c r="T14" s="8"/>
      <c r="U14" s="8"/>
      <c r="V14" s="8"/>
      <c r="W14" s="8"/>
      <c r="X14" s="8"/>
      <c r="Y14" s="8"/>
      <c r="Z14" s="8"/>
      <c r="AA14" s="8"/>
      <c r="AB14" s="8"/>
      <c r="AC14" s="8"/>
    </row>
    <row r="15" ht="14.25" customHeight="1" hidden="1" spans="1:29" x14ac:dyDescent="0.25">
      <c r="A15" s="8"/>
      <c r="B15" s="8"/>
      <c r="K15" s="8"/>
      <c r="L15" s="8"/>
      <c r="M15" s="748">
        <v>0</v>
      </c>
      <c r="N15" s="111" t="str">
        <f>$G$144&amp;" EV/EBITDA Spread to Comps"</f>
        <v>NTM EV/EBITDA Spread to Comps</v>
      </c>
      <c r="O15" s="8"/>
      <c r="P15" s="8"/>
      <c r="Q15" s="8"/>
      <c r="R15" s="746">
        <f>$S$137</f>
        <v>227.65459559897218</v>
      </c>
      <c r="S15" s="199">
        <f>R15/Share_Price-1</f>
        <v>0.10217669135304841</v>
      </c>
      <c r="T15" s="8"/>
      <c r="U15" s="8"/>
      <c r="V15" s="8"/>
      <c r="W15" s="8"/>
      <c r="X15" s="8"/>
      <c r="Y15" s="8"/>
      <c r="Z15" s="8"/>
      <c r="AA15" s="8"/>
      <c r="AB15" s="8"/>
      <c r="AC15" s="8"/>
    </row>
    <row r="16" ht="14.25" customHeight="1" hidden="1" spans="1:29" x14ac:dyDescent="0.25">
      <c r="A16" s="8"/>
      <c r="B16" s="8"/>
      <c r="K16" s="8"/>
      <c r="L16" s="8"/>
      <c r="M16" s="8"/>
      <c r="N16" s="256" t="s">
        <v>908</v>
      </c>
      <c r="O16" s="8"/>
      <c r="P16" s="8"/>
      <c r="Q16" s="8"/>
      <c r="R16" s="746"/>
      <c r="S16" s="199"/>
      <c r="T16" s="8"/>
      <c r="U16" s="8"/>
      <c r="V16" s="8"/>
      <c r="W16" s="8"/>
      <c r="X16" s="8"/>
      <c r="Y16" s="8"/>
      <c r="Z16" s="8"/>
      <c r="AA16" s="8"/>
      <c r="AB16" s="8"/>
      <c r="AC16" s="8"/>
    </row>
    <row r="17" ht="14.25" customHeight="1" hidden="1" spans="1:29" x14ac:dyDescent="0.25">
      <c r="A17" s="8"/>
      <c r="B17" s="8"/>
      <c r="K17" s="8"/>
      <c r="L17" s="8"/>
      <c r="M17" s="748">
        <v>0</v>
      </c>
      <c r="N17" s="111" t="str">
        <f>$G$222&amp;" P/E"</f>
        <v>LTM P/E</v>
      </c>
      <c r="O17" s="8"/>
      <c r="P17" s="8"/>
      <c r="Q17" s="8"/>
      <c r="R17" s="746" t="e">
        <f>$F$204</f>
        <v>#DIV/0!</v>
      </c>
      <c r="S17" s="199" t="e">
        <f>R17/Share_Price-1</f>
        <v>#DIV/0!</v>
      </c>
      <c r="T17" s="8"/>
      <c r="U17" s="8"/>
      <c r="V17" s="8"/>
      <c r="W17" s="8"/>
      <c r="X17" s="8"/>
      <c r="Y17" s="8"/>
      <c r="Z17" s="8"/>
      <c r="AA17" s="8"/>
      <c r="AB17" s="8"/>
      <c r="AC17" s="8"/>
    </row>
    <row r="18" ht="14.25" customHeight="1" hidden="1" spans="1:29" x14ac:dyDescent="0.25">
      <c r="A18" s="8"/>
      <c r="B18" s="8"/>
      <c r="K18" s="8"/>
      <c r="L18" s="8"/>
      <c r="M18" s="748">
        <v>0</v>
      </c>
      <c r="N18" s="111" t="str">
        <f>$G$222&amp;" P/E Spread to Comps"</f>
        <v>LTM P/E Spread to Comps</v>
      </c>
      <c r="O18" s="8"/>
      <c r="P18" s="8"/>
      <c r="Q18" s="8"/>
      <c r="R18" s="746" t="e">
        <f>$J$204</f>
        <v>#DIV/0!</v>
      </c>
      <c r="S18" s="199" t="e">
        <f>R18/Share_Price-1</f>
        <v>#DIV/0!</v>
      </c>
      <c r="T18" s="8"/>
      <c r="U18" s="8"/>
      <c r="V18" s="8"/>
      <c r="W18" s="8"/>
      <c r="X18" s="8"/>
      <c r="Y18" s="8"/>
      <c r="Z18" s="8"/>
      <c r="AA18" s="8"/>
      <c r="AB18" s="8"/>
      <c r="AC18" s="8"/>
    </row>
    <row r="19" ht="14.25" customHeight="1" hidden="1" spans="1:29" x14ac:dyDescent="0.25">
      <c r="A19" s="8"/>
      <c r="B19" s="8"/>
      <c r="K19" s="8"/>
      <c r="L19" s="8"/>
      <c r="M19" s="748">
        <v>0</v>
      </c>
      <c r="N19" s="111" t="str">
        <f>$G$222&amp;" EV/EBITDA"</f>
        <v>LTM EV/EBITDA</v>
      </c>
      <c r="O19" s="8"/>
      <c r="P19" s="8"/>
      <c r="Q19" s="8"/>
      <c r="R19" s="746">
        <f>$O$215</f>
        <v>212.86147015526475</v>
      </c>
      <c r="S19" s="199">
        <f>R19/Share_Price-1</f>
        <v>0.030556621424665975</v>
      </c>
      <c r="T19" s="8"/>
      <c r="U19" s="8"/>
      <c r="V19" s="8"/>
      <c r="W19" s="8"/>
      <c r="X19" s="8"/>
      <c r="Y19" s="8"/>
      <c r="Z19" s="8"/>
      <c r="AA19" s="8"/>
      <c r="AB19" s="8"/>
      <c r="AC19" s="8"/>
    </row>
    <row r="20" ht="14.25" customHeight="1" hidden="1" spans="1:29" x14ac:dyDescent="0.25">
      <c r="A20" s="8"/>
      <c r="B20" s="8"/>
      <c r="K20" s="8"/>
      <c r="L20" s="8"/>
      <c r="M20" s="748">
        <v>0</v>
      </c>
      <c r="N20" s="111" t="str">
        <f>$G$222&amp;" EV/EBITDA Spread to Comps"</f>
        <v>LTM EV/EBITDA Spread to Comps</v>
      </c>
      <c r="O20" s="8"/>
      <c r="P20" s="8"/>
      <c r="Q20" s="8"/>
      <c r="R20" s="746">
        <f>$S$215</f>
        <v>190.8203025957388</v>
      </c>
      <c r="S20" s="199">
        <f>R20/Share_Price-1</f>
        <v>-0.07615442945660233</v>
      </c>
      <c r="T20" s="8"/>
      <c r="U20" s="8"/>
      <c r="V20" s="8"/>
      <c r="W20" s="8"/>
      <c r="X20" s="8"/>
      <c r="Y20" s="8"/>
      <c r="Z20" s="8"/>
      <c r="AA20" s="8"/>
      <c r="AB20" s="8"/>
      <c r="AC20" s="8"/>
    </row>
    <row r="21" ht="14.25" customHeight="1" hidden="1" spans="1:29" x14ac:dyDescent="0.25">
      <c r="A21" s="8"/>
      <c r="B21" s="8"/>
      <c r="K21" s="8"/>
      <c r="L21" s="8"/>
      <c r="M21" s="8"/>
      <c r="N21" s="256" t="s">
        <v>909</v>
      </c>
      <c r="O21" s="8"/>
      <c r="P21" s="8"/>
      <c r="Q21" s="8"/>
      <c r="R21" s="746"/>
      <c r="S21" s="199"/>
      <c r="T21" s="8"/>
      <c r="U21" s="8"/>
      <c r="V21" s="8"/>
      <c r="W21" s="8"/>
      <c r="X21" s="8"/>
      <c r="Y21" s="8"/>
      <c r="Z21" s="8"/>
      <c r="AA21" s="8"/>
      <c r="AB21" s="8"/>
      <c r="AC21" s="8"/>
    </row>
    <row r="22" ht="14.25" customHeight="1" hidden="1" spans="1:29" x14ac:dyDescent="0.25">
      <c r="A22" s="8"/>
      <c r="B22" s="8"/>
      <c r="K22" s="8"/>
      <c r="L22" s="8"/>
      <c r="M22" s="748">
        <v>0</v>
      </c>
      <c r="N22" s="756" t="str">
        <f>D24&amp;" EV/EBITDA"</f>
        <v>NTM EV/EBITDA</v>
      </c>
      <c r="O22" s="122"/>
      <c r="P22" s="122"/>
      <c r="Q22" s="122"/>
      <c r="R22" s="757">
        <f>$S$284</f>
        <v>128.4833349129834</v>
      </c>
      <c r="S22" s="758">
        <f>R22/Share_Price-1</f>
        <v>-0.37795528969749026</v>
      </c>
      <c r="T22" s="8"/>
      <c r="U22" s="8"/>
      <c r="V22" s="8"/>
      <c r="W22" s="8"/>
      <c r="X22" s="8"/>
      <c r="Y22" s="8"/>
      <c r="Z22" s="8"/>
      <c r="AA22" s="8"/>
      <c r="AB22" s="8"/>
      <c r="AC22" s="8"/>
    </row>
    <row r="23" ht="14.25" customHeight="1" hidden="1" spans="1:29" x14ac:dyDescent="0.25">
      <c r="A23" s="8"/>
      <c r="B23" s="8"/>
      <c r="C23" s="75"/>
      <c r="D23" s="753"/>
      <c r="E23" s="753"/>
      <c r="F23" s="753"/>
      <c r="G23" s="753"/>
      <c r="H23" s="753"/>
      <c r="I23" s="753"/>
      <c r="J23" s="753"/>
      <c r="K23" s="8"/>
      <c r="L23" s="8"/>
      <c r="M23" s="199"/>
      <c r="N23" s="8" t="s">
        <v>910</v>
      </c>
      <c r="O23" s="8"/>
      <c r="P23" s="8"/>
      <c r="Q23" s="8"/>
      <c r="R23" s="746">
        <f>AVERAGE(R22,R12:R15,R9:R10)</f>
        <v>227.38874563237667</v>
      </c>
      <c r="S23" s="199">
        <f>R23/Share_Price-1</f>
        <v>0.10088959395970298</v>
      </c>
      <c r="T23" s="8"/>
      <c r="U23" s="8"/>
      <c r="V23" s="8"/>
      <c r="W23" s="8"/>
      <c r="X23" s="8"/>
      <c r="Y23" s="8"/>
      <c r="Z23" s="8"/>
      <c r="AA23" s="8"/>
      <c r="AB23" s="8"/>
      <c r="AC23" s="8"/>
    </row>
    <row r="24" ht="14.25" customHeight="1" spans="1:29" x14ac:dyDescent="0.25">
      <c r="A24" s="8"/>
      <c r="B24" s="8"/>
      <c r="C24" s="8" t="s">
        <v>911</v>
      </c>
      <c r="D24" s="260" t="s">
        <v>912</v>
      </c>
      <c r="E24" s="8"/>
      <c r="F24" s="8"/>
      <c r="G24" s="8"/>
      <c r="H24" s="753"/>
      <c r="I24" s="753"/>
      <c r="J24" s="753"/>
      <c r="K24" s="8"/>
      <c r="L24" s="8"/>
      <c r="M24" s="296"/>
      <c r="N24" s="8" t="s">
        <v>913</v>
      </c>
      <c r="O24" s="8"/>
      <c r="P24" s="759"/>
      <c r="Q24" s="8"/>
      <c r="R24" s="746" t="e">
        <f>R12*M12+M13*R13</f>
        <v>#DIV/0!</v>
      </c>
      <c r="S24" s="199" t="e">
        <f>R24/Share_Price-1</f>
        <v>#DIV/0!</v>
      </c>
      <c r="T24" s="8"/>
      <c r="U24" s="8"/>
      <c r="V24" s="8"/>
      <c r="W24" s="8"/>
      <c r="X24" s="8"/>
      <c r="Y24" s="8"/>
      <c r="Z24" s="8"/>
      <c r="AA24" s="8"/>
      <c r="AB24" s="8"/>
      <c r="AC24" s="8"/>
    </row>
    <row r="25" ht="13.5" customHeight="1" spans="1:29" x14ac:dyDescent="0.25">
      <c r="A25" s="8"/>
      <c r="B25" s="8"/>
      <c r="C25" s="8"/>
      <c r="E25" s="8"/>
      <c r="F25" s="8"/>
      <c r="G25" s="8"/>
      <c r="H25" s="753"/>
      <c r="I25" s="753"/>
      <c r="J25" s="753"/>
      <c r="K25" s="8"/>
      <c r="L25" s="8"/>
      <c r="M25" s="296"/>
      <c r="N25" s="8"/>
      <c r="O25" s="8"/>
      <c r="P25" s="759"/>
      <c r="Q25" s="8"/>
      <c r="R25" s="746"/>
      <c r="S25" s="199"/>
      <c r="T25" s="8"/>
      <c r="U25" s="8"/>
      <c r="V25" s="8"/>
      <c r="W25" s="8"/>
      <c r="X25" s="8"/>
      <c r="Y25" s="8"/>
      <c r="Z25" s="8"/>
      <c r="AA25" s="8"/>
      <c r="AB25" s="8"/>
      <c r="AC25" s="8"/>
    </row>
    <row r="26" ht="13.5" customHeight="1" spans="1:29" x14ac:dyDescent="0.25" outlineLevel="1" collapsed="1">
      <c r="A26" s="8"/>
      <c r="B26" s="8"/>
      <c r="C26" s="8"/>
      <c r="D26" s="8"/>
      <c r="E26" s="8"/>
      <c r="F26" s="8"/>
      <c r="G26" s="8"/>
      <c r="H26" s="8"/>
      <c r="I26" s="8"/>
      <c r="J26" s="8"/>
      <c r="K26" s="8"/>
      <c r="L26" s="8"/>
      <c r="M26" s="8"/>
      <c r="N26" s="8"/>
      <c r="O26" s="760">
        <v>1</v>
      </c>
      <c r="P26" s="760">
        <f>O26+1</f>
        <v>2</v>
      </c>
      <c r="Q26" s="760">
        <f>P26+1</f>
        <v>3</v>
      </c>
      <c r="R26" s="760">
        <f>Q26+1</f>
        <v>4</v>
      </c>
      <c r="S26" s="760">
        <f>R26+1</f>
        <v>5</v>
      </c>
      <c r="T26" s="8"/>
      <c r="U26" s="8"/>
      <c r="V26" s="8"/>
      <c r="W26" s="8"/>
      <c r="X26" s="8"/>
      <c r="Y26" s="8"/>
      <c r="Z26" s="8"/>
      <c r="AA26" s="8"/>
      <c r="AB26" s="8"/>
      <c r="AC26" s="8"/>
    </row>
    <row r="27" ht="6.75" customHeight="1" spans="1:29" x14ac:dyDescent="0.25">
      <c r="A27" s="8"/>
      <c r="B27" s="8"/>
      <c r="C27" s="8"/>
      <c r="D27" s="8"/>
      <c r="E27" s="8"/>
      <c r="F27" s="8"/>
      <c r="G27" s="8"/>
      <c r="H27" s="8"/>
      <c r="I27" s="8"/>
      <c r="J27" s="40">
        <f>LEN(J28)</f>
        <v>5</v>
      </c>
      <c r="K27" s="40">
        <f>LEN(K28)</f>
        <v>5</v>
      </c>
      <c r="L27" s="40"/>
      <c r="M27" s="40">
        <f>LEN(M28)</f>
        <v>5</v>
      </c>
      <c r="N27" s="40">
        <f>LEN(N28)</f>
        <v>5</v>
      </c>
      <c r="O27" s="760"/>
      <c r="P27" s="760"/>
      <c r="Q27" s="760"/>
      <c r="R27" s="760"/>
      <c r="S27" s="760"/>
      <c r="T27" s="8"/>
      <c r="U27" s="8"/>
      <c r="V27" s="8"/>
      <c r="W27" s="8"/>
      <c r="X27" s="8"/>
      <c r="Y27" s="8"/>
      <c r="Z27" s="8"/>
      <c r="AA27" s="8"/>
      <c r="AB27" s="8"/>
      <c r="AC27" s="8"/>
    </row>
    <row r="28" ht="13.5" customHeight="1" spans="1:29" x14ac:dyDescent="0.25">
      <c r="A28" s="257" t="s">
        <v>3</v>
      </c>
      <c r="B28" s="8"/>
      <c r="C28" s="345" t="s">
        <v>914</v>
      </c>
      <c r="D28" s="390"/>
      <c r="E28" s="390"/>
      <c r="F28" s="390"/>
      <c r="G28" s="761">
        <v>2023</v>
      </c>
      <c r="H28" s="761">
        <f>H29</f>
        <v>2024</v>
      </c>
      <c r="I28" s="761">
        <f>I29</f>
        <v>2025</v>
      </c>
      <c r="J28" s="762" t="str">
        <f>IF(Last_FQR="4Q","1Q"&amp;RIGHT(J29,2)&amp;"e","1Q"&amp;RIGHT(J29,2))</f>
        <v>1Q26e</v>
      </c>
      <c r="K28" s="186" t="str">
        <f>IF(Last_FQR="4Q","2Q"&amp;RIGHT(K29,2)&amp;"e",IF(Last_FQR="1Q","2Q"&amp;RIGHT(K29,2)&amp;"e","2Q"&amp;RIGHT(K29,2)))</f>
        <v>2Q26e</v>
      </c>
      <c r="L28" s="186"/>
      <c r="M28" s="186" t="str">
        <f>IF(Last_FQR="4Q","3Q"&amp;RIGHT(M29,2)&amp;"e",IF(Last_FQR="1Q","3Q"&amp;RIGHT(M29,2)&amp;"e",IF(Last_FQR="2Q","3Q"&amp;RIGHT(M29,2)&amp;"e","3Q"&amp;RIGHT(M29,2))))</f>
        <v>3Q26e</v>
      </c>
      <c r="N28" s="763" t="str">
        <f>"4Q"&amp;RIGHT(N29,2)&amp;"e"</f>
        <v>4Q26e</v>
      </c>
      <c r="O28" s="186" t="str">
        <f>O29&amp;"e"</f>
        <v>2026e</v>
      </c>
      <c r="P28" s="186" t="str">
        <f>P29&amp;"e"</f>
        <v>2027e</v>
      </c>
      <c r="Q28" s="186" t="str">
        <f>Q29&amp;"e"</f>
        <v>2028e</v>
      </c>
      <c r="R28" s="186" t="str">
        <f>R29&amp;"e"</f>
        <v>2029e</v>
      </c>
      <c r="S28" s="347" t="str">
        <f>S29&amp;"e"</f>
        <v>2030e</v>
      </c>
      <c r="T28" s="191" t="s">
        <v>3</v>
      </c>
      <c r="U28" s="8"/>
      <c r="V28" s="8"/>
      <c r="W28" s="8"/>
      <c r="X28" s="8"/>
      <c r="Y28" s="8"/>
      <c r="Z28" s="8"/>
      <c r="AA28" s="8"/>
      <c r="AB28" s="8"/>
      <c r="AC28" s="8"/>
    </row>
    <row r="29" ht="13.5" customHeight="1" spans="1:29" x14ac:dyDescent="0.25">
      <c r="A29" s="764"/>
      <c r="B29" s="765"/>
      <c r="C29" s="766"/>
      <c r="D29" s="767"/>
      <c r="E29" s="767"/>
      <c r="F29" s="767"/>
      <c r="G29" s="768">
        <f>H29-1</f>
        <v>2023</v>
      </c>
      <c r="H29" s="768">
        <f>I29-1</f>
        <v>2024</v>
      </c>
      <c r="I29" s="768">
        <f>YEAR(Last_FYE)</f>
        <v>2025</v>
      </c>
      <c r="J29" s="768">
        <f>I29+1</f>
        <v>2026</v>
      </c>
      <c r="K29" s="768">
        <f>J29</f>
        <v>2026</v>
      </c>
      <c r="L29" s="768"/>
      <c r="M29" s="768">
        <f>K29</f>
        <v>2026</v>
      </c>
      <c r="N29" s="768">
        <f>M29</f>
        <v>2026</v>
      </c>
      <c r="O29" s="768">
        <f>N29</f>
        <v>2026</v>
      </c>
      <c r="P29" s="768">
        <f>O29+1</f>
        <v>2027</v>
      </c>
      <c r="Q29" s="768">
        <f>P29+1</f>
        <v>2028</v>
      </c>
      <c r="R29" s="768">
        <f>Q29+1</f>
        <v>2029</v>
      </c>
      <c r="S29" s="769">
        <f>R29+1</f>
        <v>2030</v>
      </c>
      <c r="T29" s="764"/>
      <c r="U29" s="8"/>
      <c r="V29" s="8"/>
      <c r="W29" s="8"/>
      <c r="X29" s="8"/>
      <c r="Y29" s="8"/>
      <c r="Z29" s="8"/>
      <c r="AA29" s="8"/>
      <c r="AB29" s="8"/>
      <c r="AC29" s="8"/>
    </row>
    <row r="30" ht="4.5" customHeight="1" spans="1:29" x14ac:dyDescent="0.25">
      <c r="A30" s="8"/>
      <c r="B30" s="8"/>
      <c r="C30" s="8"/>
      <c r="D30" s="8"/>
      <c r="E30" s="8"/>
      <c r="F30" s="8"/>
      <c r="G30" s="8"/>
      <c r="H30" s="8"/>
      <c r="I30" s="8"/>
      <c r="J30" s="770"/>
      <c r="K30" s="771"/>
      <c r="L30" s="771"/>
      <c r="M30" s="771"/>
      <c r="N30" s="772"/>
      <c r="O30" s="8"/>
      <c r="P30" s="8"/>
      <c r="Q30" s="8"/>
      <c r="R30" s="8"/>
      <c r="S30" s="8"/>
      <c r="T30" s="8"/>
      <c r="U30" s="8"/>
      <c r="V30" s="8"/>
      <c r="W30" s="8"/>
      <c r="X30" s="8"/>
      <c r="Y30" s="8"/>
      <c r="Z30" s="8"/>
      <c r="AA30" s="8"/>
      <c r="AB30" s="8"/>
      <c r="AC30" s="8"/>
    </row>
    <row r="31" ht="13.5" customHeight="1" spans="1:29" x14ac:dyDescent="0.25">
      <c r="A31" s="8"/>
      <c r="B31" s="8"/>
      <c r="C31" s="8" t="str">
        <f>Model!C28</f>
        <v>Revenue</v>
      </c>
      <c r="D31" s="8"/>
      <c r="E31" s="8"/>
      <c r="F31" s="8"/>
      <c r="G31" s="275">
        <f>Model!J28</f>
        <v>14964.500000000002</v>
      </c>
      <c r="H31" s="275">
        <f>Model!O28</f>
        <v>16031.900000000001</v>
      </c>
      <c r="I31" s="275">
        <f>Model!T28</f>
        <v>16592</v>
      </c>
      <c r="J31" s="773">
        <f>Model!U28</f>
        <v>4152.631</v>
      </c>
      <c r="K31" s="774">
        <f>Model!V28</f>
        <v>4379.486</v>
      </c>
      <c r="L31" s="774"/>
      <c r="M31" s="774">
        <f>Model!W28</f>
        <v>4358.186</v>
      </c>
      <c r="N31" s="775">
        <f>Model!X28</f>
        <v>4435.81544325</v>
      </c>
      <c r="O31" s="275">
        <f>Model!Y28</f>
        <v>17326.11844325</v>
      </c>
      <c r="P31" s="275">
        <f>Model!AD28</f>
        <v>18048.662666999997</v>
      </c>
      <c r="Q31" s="275">
        <f>Model!AE28</f>
        <v>18921.749183770997</v>
      </c>
      <c r="R31" s="275">
        <f>Model!AF28</f>
        <v>19882.732929281065</v>
      </c>
      <c r="S31" s="275">
        <f>Model!AG28</f>
        <v>20839.078807590817</v>
      </c>
      <c r="T31" s="8"/>
      <c r="U31" s="8"/>
      <c r="V31" s="8"/>
      <c r="W31" s="8"/>
      <c r="X31" s="8"/>
      <c r="Y31" s="8"/>
      <c r="Z31" s="8"/>
      <c r="AA31" s="8"/>
      <c r="AB31" s="8"/>
      <c r="AC31" s="8"/>
    </row>
    <row r="32" ht="13.5" customHeight="1" spans="1:29" x14ac:dyDescent="0.25">
      <c r="A32" s="8"/>
      <c r="B32" s="8"/>
      <c r="C32" s="130" t="str">
        <f>Model!C61</f>
        <v>EBITDA</v>
      </c>
      <c r="D32" s="8"/>
      <c r="E32" s="8"/>
      <c r="F32" s="8"/>
      <c r="G32" s="324">
        <f>Model!J61</f>
        <v>14964.500000000002</v>
      </c>
      <c r="H32" s="324">
        <f>Model!O61</f>
        <v>16031.900000000001</v>
      </c>
      <c r="I32" s="324">
        <f>Model!T61</f>
        <v>16592</v>
      </c>
      <c r="J32" s="776">
        <f>Model!U61</f>
        <v>4152.631</v>
      </c>
      <c r="K32" s="777">
        <f>Model!V61</f>
        <v>4379.486</v>
      </c>
      <c r="L32" s="777"/>
      <c r="M32" s="777">
        <f>Model!W61</f>
        <v>4358.186</v>
      </c>
      <c r="N32" s="778">
        <f>Model!X61</f>
        <v>1388.4102337372497</v>
      </c>
      <c r="O32" s="324">
        <f>Model!Y61</f>
        <v>5679.7132337372495</v>
      </c>
      <c r="P32" s="324">
        <f>Model!AD61</f>
        <v>5740.120645898999</v>
      </c>
      <c r="Q32" s="324">
        <f>Model!AE61</f>
        <v>6130.646735541803</v>
      </c>
      <c r="R32" s="324">
        <f>Model!AF61</f>
        <v>6402.240003228502</v>
      </c>
      <c r="S32" s="324">
        <f>Model!AG61</f>
        <v>6731.022454851831</v>
      </c>
      <c r="T32" s="8"/>
      <c r="U32" s="8"/>
      <c r="V32" s="8"/>
      <c r="W32" s="8"/>
      <c r="X32" s="8"/>
      <c r="Y32" s="8"/>
      <c r="Z32" s="8"/>
      <c r="AA32" s="8"/>
      <c r="AB32" s="8"/>
      <c r="AC32" s="8"/>
    </row>
    <row r="33" ht="13.5" customHeight="1" spans="1:29" x14ac:dyDescent="0.25">
      <c r="A33" s="8"/>
      <c r="B33" s="8"/>
      <c r="C33" s="8" t="str">
        <f>Model!C59</f>
        <v>EBIT</v>
      </c>
      <c r="D33" s="8"/>
      <c r="E33" s="8"/>
      <c r="F33" s="8"/>
      <c r="G33" s="324">
        <f>Model!J36</f>
        <v>14964.500000000002</v>
      </c>
      <c r="H33" s="324">
        <f>Model!O36</f>
        <v>16031.900000000001</v>
      </c>
      <c r="I33" s="324">
        <f>Model!T36</f>
        <v>16592</v>
      </c>
      <c r="J33" s="776">
        <f>Model!U36</f>
        <v>4152.631</v>
      </c>
      <c r="K33" s="777">
        <f>Model!V36</f>
        <v>4379.486</v>
      </c>
      <c r="L33" s="777"/>
      <c r="M33" s="777">
        <f>Model!W36</f>
        <v>4358.186</v>
      </c>
      <c r="N33" s="778">
        <f>Model!X36</f>
        <v>893.9576914541115</v>
      </c>
      <c r="O33" s="324">
        <f>Model!Y36</f>
        <v>3829.260691454111</v>
      </c>
      <c r="P33" s="324">
        <f>Model!AD36</f>
        <v>3794.515851447618</v>
      </c>
      <c r="Q33" s="324">
        <f>Model!AE36</f>
        <v>4153.313493716915</v>
      </c>
      <c r="R33" s="324">
        <f>Model!AF36</f>
        <v>4316.982078703026</v>
      </c>
      <c r="S33" s="324">
        <f>Model!AG36</f>
        <v>4540.36069511936</v>
      </c>
      <c r="T33" s="8"/>
      <c r="U33" s="8"/>
      <c r="V33" s="8"/>
      <c r="W33" s="8"/>
      <c r="X33" s="8"/>
      <c r="Y33" s="8"/>
      <c r="Z33" s="8"/>
      <c r="AA33" s="8"/>
      <c r="AB33" s="8"/>
      <c r="AC33" s="8"/>
    </row>
    <row r="34" ht="13.5" customHeight="1" spans="1:29" x14ac:dyDescent="0.25">
      <c r="A34" s="8"/>
      <c r="B34" s="8"/>
      <c r="C34" s="130" t="str">
        <f>Model!C44</f>
        <v>Income Tax Benefit (Expense)</v>
      </c>
      <c r="D34" s="8"/>
      <c r="E34" s="8"/>
      <c r="F34" s="8"/>
      <c r="G34" s="437">
        <f>Model!J44</f>
        <v>0</v>
      </c>
      <c r="H34" s="437">
        <f>Model!O44</f>
        <v>0</v>
      </c>
      <c r="I34" s="437">
        <f>Model!T44</f>
        <v>0</v>
      </c>
      <c r="J34" s="779">
        <f>Model!U44</f>
        <v>0</v>
      </c>
      <c r="K34" s="780">
        <f>Model!V44</f>
        <v>0</v>
      </c>
      <c r="L34" s="780"/>
      <c r="M34" s="780">
        <f>Model!W44</f>
        <v>0</v>
      </c>
      <c r="N34" s="781">
        <f>Model!X44</f>
        <v>-151.5915797945085</v>
      </c>
      <c r="O34" s="437">
        <f>Model!Y44</f>
        <v>-586.5915797945086</v>
      </c>
      <c r="P34" s="437">
        <f>Model!AD44</f>
        <v>-636.7285851434573</v>
      </c>
      <c r="Q34" s="437">
        <f>Model!AE44</f>
        <v>-709.6369590444777</v>
      </c>
      <c r="R34" s="437">
        <f>Model!AF44</f>
        <v>-738.9703952774339</v>
      </c>
      <c r="S34" s="437">
        <f>Model!AG44</f>
        <v>-786.6226933845105</v>
      </c>
      <c r="T34" s="8"/>
      <c r="U34" s="8"/>
      <c r="V34" s="8"/>
      <c r="W34" s="8"/>
      <c r="X34" s="8"/>
      <c r="Y34" s="8"/>
      <c r="Z34" s="8"/>
      <c r="AA34" s="8"/>
      <c r="AB34" s="8"/>
      <c r="AC34" s="8"/>
    </row>
    <row r="35" ht="13.5" customHeight="1" spans="1:29" x14ac:dyDescent="0.25">
      <c r="A35" s="8"/>
      <c r="B35" s="8"/>
      <c r="C35" s="8" t="s">
        <v>915</v>
      </c>
      <c r="D35" s="8"/>
      <c r="E35" s="8"/>
      <c r="F35" s="8"/>
      <c r="G35" s="275">
        <f t="shared" ref="G35:S35" si="0">SUM(G33:G34)</f>
        <v>14964.500000000002</v>
      </c>
      <c r="H35" s="275">
        <f t="shared" si="0"/>
        <v>16031.900000000001</v>
      </c>
      <c r="I35" s="275">
        <f t="shared" si="0"/>
        <v>16592</v>
      </c>
      <c r="J35" s="773">
        <f t="shared" si="0"/>
        <v>4152.631</v>
      </c>
      <c r="K35" s="774">
        <f t="shared" si="0"/>
        <v>4379.486</v>
      </c>
      <c r="L35" s="774"/>
      <c r="M35" s="774">
        <f t="shared" si="0"/>
        <v>4358.186</v>
      </c>
      <c r="N35" s="775">
        <f t="shared" si="0"/>
        <v>742.3661116596029</v>
      </c>
      <c r="O35" s="275">
        <f t="shared" si="0"/>
        <v>3242.6691116596025</v>
      </c>
      <c r="P35" s="275">
        <f t="shared" si="0"/>
        <v>3157.7872663041608</v>
      </c>
      <c r="Q35" s="275">
        <f t="shared" si="0"/>
        <v>3443.6765346724374</v>
      </c>
      <c r="R35" s="275">
        <f t="shared" si="0"/>
        <v>3578.011683425592</v>
      </c>
      <c r="S35" s="275">
        <f t="shared" si="0"/>
        <v>3753.738001734849</v>
      </c>
      <c r="T35" s="8"/>
      <c r="U35" s="8"/>
      <c r="V35" s="8"/>
      <c r="W35" s="8"/>
      <c r="X35" s="8"/>
      <c r="Y35" s="8"/>
      <c r="Z35" s="8"/>
      <c r="AA35" s="8"/>
      <c r="AB35" s="8"/>
      <c r="AC35" s="8"/>
    </row>
    <row r="36" ht="13.5" customHeight="1" spans="1:29" x14ac:dyDescent="0.25">
      <c r="A36" s="8"/>
      <c r="B36" s="8"/>
      <c r="C36" s="296" t="s">
        <v>916</v>
      </c>
      <c r="D36" s="8"/>
      <c r="E36" s="8"/>
      <c r="F36" s="8"/>
      <c r="G36" s="275"/>
      <c r="H36" s="487">
        <f>H35/G35-1</f>
        <v>0.07132881152059878</v>
      </c>
      <c r="I36" s="487">
        <f>I35/H35-1</f>
        <v>0.03493659516339287</v>
      </c>
      <c r="J36" s="782"/>
      <c r="K36" s="783"/>
      <c r="L36" s="783"/>
      <c r="M36" s="783"/>
      <c r="N36" s="784"/>
      <c r="O36" s="487">
        <f>O35/I35-1</f>
        <v>-0.010083612156301602</v>
      </c>
      <c r="P36" s="487">
        <f>P35/O35-1</f>
        <v>-0.026176536190582578</v>
      </c>
      <c r="Q36" s="487">
        <f>Q35/P35-1</f>
        <v>0.09053468275678944</v>
      </c>
      <c r="R36" s="487">
        <f>R35/Q35-1</f>
        <v>0.03900922383406513</v>
      </c>
      <c r="S36" s="487">
        <f>S35/R35-1</f>
        <v>0.04911284083371603</v>
      </c>
      <c r="T36" s="8"/>
      <c r="U36" s="8"/>
      <c r="V36" s="8"/>
      <c r="W36" s="8"/>
      <c r="X36" s="8"/>
      <c r="Y36" s="8"/>
      <c r="Z36" s="8"/>
      <c r="AA36" s="8"/>
      <c r="AB36" s="8"/>
      <c r="AC36" s="8"/>
    </row>
    <row r="37" ht="13.5" customHeight="1" spans="1:29" x14ac:dyDescent="0.25">
      <c r="A37" s="8"/>
      <c r="B37" s="8"/>
      <c r="C37" s="8"/>
      <c r="D37" s="8"/>
      <c r="E37" s="8"/>
      <c r="F37" s="8"/>
      <c r="G37" s="8"/>
      <c r="H37" s="8"/>
      <c r="I37" s="8"/>
      <c r="J37" s="770"/>
      <c r="K37" s="771"/>
      <c r="L37" s="771"/>
      <c r="M37" s="771"/>
      <c r="N37" s="772"/>
      <c r="O37" s="8"/>
      <c r="P37" s="8"/>
      <c r="Q37" s="8"/>
      <c r="R37" s="8"/>
      <c r="S37" s="8"/>
      <c r="T37" s="8"/>
      <c r="U37" s="8"/>
      <c r="V37" s="8"/>
      <c r="W37" s="8"/>
      <c r="X37" s="8"/>
      <c r="Y37" s="8"/>
      <c r="Z37" s="8"/>
      <c r="AA37" s="8"/>
      <c r="AB37" s="8"/>
      <c r="AC37" s="8"/>
    </row>
    <row r="38" ht="13.5" customHeight="1" spans="1:29" x14ac:dyDescent="0.25">
      <c r="A38" s="8"/>
      <c r="B38" s="8"/>
      <c r="C38" s="130" t="str">
        <f>Model!C78</f>
        <v>Depreciation &amp; Amortization</v>
      </c>
      <c r="D38" s="8"/>
      <c r="E38" s="8"/>
      <c r="F38" s="8"/>
      <c r="G38" s="324"/>
      <c r="H38" s="324"/>
      <c r="I38" s="324"/>
      <c r="J38" s="776">
        <f>-Model!U34</f>
        <v>0</v>
      </c>
      <c r="K38" s="777">
        <f>-Model!V34</f>
        <v>0</v>
      </c>
      <c r="L38" s="777"/>
      <c r="M38" s="777">
        <f>-Model!W34</f>
        <v>0</v>
      </c>
      <c r="N38" s="778">
        <f>-Model!X34</f>
        <v>494.4525422831382</v>
      </c>
      <c r="O38" s="324">
        <f>-Model!Y34</f>
        <v>1850.4525422831382</v>
      </c>
      <c r="P38" s="324">
        <f>-Model!AD34</f>
        <v>1945.6047944513814</v>
      </c>
      <c r="Q38" s="324">
        <f>-Model!AE34</f>
        <v>1977.3332418248879</v>
      </c>
      <c r="R38" s="324">
        <f>-Model!AF34</f>
        <v>2085.257924525477</v>
      </c>
      <c r="S38" s="324">
        <f>-Model!AG34</f>
        <v>2190.6617597324716</v>
      </c>
      <c r="T38" s="8"/>
      <c r="U38" s="8"/>
      <c r="V38" s="8"/>
      <c r="W38" s="8"/>
      <c r="X38" s="8"/>
      <c r="Y38" s="8"/>
      <c r="Z38" s="8"/>
      <c r="AA38" s="8"/>
      <c r="AB38" s="8"/>
      <c r="AC38" s="8"/>
    </row>
    <row r="39" ht="13.5" customHeight="1" spans="1:29" x14ac:dyDescent="0.25">
      <c r="A39" s="8"/>
      <c r="B39" s="8"/>
      <c r="C39" s="130" t="str">
        <f>Model!C79</f>
        <v>Stock-Based Compensation</v>
      </c>
      <c r="D39" s="8"/>
      <c r="E39" s="8"/>
      <c r="F39" s="8"/>
      <c r="G39" s="324"/>
      <c r="H39" s="324"/>
      <c r="I39" s="324"/>
      <c r="J39" s="776">
        <f>Model!U249</f>
        <v>0</v>
      </c>
      <c r="K39" s="777">
        <f>Model!V249</f>
        <v>0</v>
      </c>
      <c r="L39" s="777"/>
      <c r="M39" s="777">
        <f>Model!W249</f>
        <v>0</v>
      </c>
      <c r="N39" s="778">
        <f>Model!X249</f>
        <v>0</v>
      </c>
      <c r="O39" s="324">
        <f>Model!Y249</f>
        <v>0</v>
      </c>
      <c r="P39" s="324">
        <f>Model!AD249</f>
        <v>0</v>
      </c>
      <c r="Q39" s="324">
        <f>Model!AE249</f>
        <v>0</v>
      </c>
      <c r="R39" s="324">
        <f>Model!AF249</f>
        <v>0</v>
      </c>
      <c r="S39" s="324">
        <f>Model!AG249</f>
        <v>0</v>
      </c>
      <c r="T39" s="8"/>
      <c r="U39" s="8"/>
      <c r="V39" s="8"/>
      <c r="W39" s="8"/>
      <c r="X39" s="8"/>
      <c r="Y39" s="8"/>
      <c r="Z39" s="8"/>
      <c r="AA39" s="8"/>
      <c r="AB39" s="8"/>
      <c r="AC39" s="8"/>
    </row>
    <row r="40" ht="13.5" customHeight="1" spans="1:29" x14ac:dyDescent="0.25">
      <c r="A40" s="8"/>
      <c r="B40" s="8"/>
      <c r="C40" s="130" t="str">
        <f>Model!C84</f>
        <v>Capital Expenditures</v>
      </c>
      <c r="D40" s="8"/>
      <c r="E40" s="8"/>
      <c r="F40" s="8"/>
      <c r="G40" s="324"/>
      <c r="H40" s="324"/>
      <c r="I40" s="324"/>
      <c r="J40" s="776">
        <f>-Model!U196</f>
        <v>0</v>
      </c>
      <c r="K40" s="777">
        <f>-Model!V196</f>
        <v>0</v>
      </c>
      <c r="L40" s="777"/>
      <c r="M40" s="777">
        <f>-Model!W196</f>
        <v>0</v>
      </c>
      <c r="N40" s="778">
        <f>-Model!X196</f>
        <v>-527.8620377467499</v>
      </c>
      <c r="O40" s="324">
        <f>-Model!Y196</f>
        <v>-527.8620377467499</v>
      </c>
      <c r="P40" s="324">
        <f>-Model!AD196</f>
        <v>-2039.7437006269997</v>
      </c>
      <c r="Q40" s="324">
        <f>-Model!AE196</f>
        <v>-2054.90196135753</v>
      </c>
      <c r="R40" s="324">
        <f>-Model!AF196</f>
        <v>-2115.5227836755053</v>
      </c>
      <c r="S40" s="324">
        <f>-Model!AG196</f>
        <v>-2229.7814324122173</v>
      </c>
      <c r="T40" s="8"/>
      <c r="U40" s="8"/>
      <c r="V40" s="8"/>
      <c r="W40" s="8"/>
      <c r="X40" s="8"/>
      <c r="Y40" s="8"/>
      <c r="Z40" s="8"/>
      <c r="AA40" s="8"/>
      <c r="AB40" s="8"/>
      <c r="AC40" s="8"/>
    </row>
    <row r="41" ht="13.5" customHeight="1" spans="1:29" x14ac:dyDescent="0.25">
      <c r="A41" s="8"/>
      <c r="B41" s="8"/>
      <c r="C41" s="130" t="str">
        <f>Drivers!C62</f>
        <v>Goodwill Impairment</v>
      </c>
      <c r="D41" s="8"/>
      <c r="E41" s="8"/>
      <c r="F41" s="8"/>
      <c r="G41" s="324"/>
      <c r="H41" s="324"/>
      <c r="I41" s="324"/>
      <c r="J41" s="776">
        <f>Model!U40</f>
        <v>0</v>
      </c>
      <c r="K41" s="777">
        <f>Model!V40</f>
        <v>0</v>
      </c>
      <c r="L41" s="777"/>
      <c r="M41" s="777">
        <f>Model!W40</f>
        <v>0</v>
      </c>
      <c r="N41" s="778">
        <f>Model!X40</f>
        <v>0</v>
      </c>
      <c r="O41" s="324">
        <f>Model!Y40</f>
        <v>0</v>
      </c>
      <c r="P41" s="324">
        <f>Model!AD40</f>
        <v>0</v>
      </c>
      <c r="Q41" s="324">
        <f>Model!AE40</f>
        <v>0</v>
      </c>
      <c r="R41" s="324">
        <f>Model!AF40</f>
        <v>0</v>
      </c>
      <c r="S41" s="324">
        <f>Model!AG40</f>
        <v>0</v>
      </c>
      <c r="T41" s="8"/>
      <c r="U41" s="8"/>
      <c r="V41" s="8"/>
      <c r="W41" s="8"/>
      <c r="X41" s="8"/>
      <c r="Y41" s="8"/>
      <c r="Z41" s="8"/>
      <c r="AA41" s="8"/>
      <c r="AB41" s="8"/>
      <c r="AC41" s="8"/>
    </row>
    <row r="42" ht="13.5" customHeight="1" spans="1:29" x14ac:dyDescent="0.25">
      <c r="A42" s="8"/>
      <c r="B42" s="8"/>
      <c r="C42" s="130" t="str">
        <f>Model!C80</f>
        <v>(Increase)/Decrease in Working Capital</v>
      </c>
      <c r="D42" s="8"/>
      <c r="E42" s="8"/>
      <c r="F42" s="8"/>
      <c r="G42" s="324"/>
      <c r="H42" s="324"/>
      <c r="I42" s="324"/>
      <c r="J42" s="776">
        <f>Model!U113</f>
        <v>0</v>
      </c>
      <c r="K42" s="777">
        <f>Model!V113</f>
        <v>0</v>
      </c>
      <c r="L42" s="777"/>
      <c r="M42" s="777">
        <f>Model!W113</f>
        <v>0</v>
      </c>
      <c r="N42" s="778">
        <f>Model!X113</f>
        <v>-710.1161940020215</v>
      </c>
      <c r="O42" s="324">
        <f>Model!Y113</f>
        <v>-710.1161940020215</v>
      </c>
      <c r="P42" s="324">
        <f>Model!AD113</f>
        <v>29.551348891065572</v>
      </c>
      <c r="Q42" s="324">
        <f>Model!AE113</f>
        <v>-74.87951100001078</v>
      </c>
      <c r="R42" s="324">
        <f>Model!AF113</f>
        <v>-13.49991246363993</v>
      </c>
      <c r="S42" s="324">
        <f>Model!AG113</f>
        <v>-36.9856942964941</v>
      </c>
      <c r="T42" s="8"/>
      <c r="U42" s="8"/>
      <c r="V42" s="8"/>
      <c r="W42" s="8"/>
      <c r="X42" s="8"/>
      <c r="Y42" s="8"/>
      <c r="Z42" s="8"/>
      <c r="AA42" s="8"/>
      <c r="AB42" s="8"/>
      <c r="AC42" s="8"/>
    </row>
    <row r="43" ht="13.5" customHeight="1" spans="1:29" x14ac:dyDescent="0.25">
      <c r="A43" s="8"/>
      <c r="B43" s="8"/>
      <c r="C43" s="130" t="str">
        <f>Model!C81</f>
        <v>(Increase)/Decrease in LT Items</v>
      </c>
      <c r="D43" s="8"/>
      <c r="E43" s="8"/>
      <c r="F43" s="8"/>
      <c r="G43" s="324"/>
      <c r="H43" s="324"/>
      <c r="I43" s="324"/>
      <c r="J43" s="776">
        <f>Model!U81</f>
        <v>0</v>
      </c>
      <c r="K43" s="777">
        <f>Model!V81</f>
        <v>0</v>
      </c>
      <c r="L43" s="777"/>
      <c r="M43" s="777">
        <f>Model!W81</f>
        <v>0</v>
      </c>
      <c r="N43" s="778">
        <f>Model!X81</f>
        <v>-102.8</v>
      </c>
      <c r="O43" s="324">
        <f>Model!Y81</f>
        <v>-102.8</v>
      </c>
      <c r="P43" s="324">
        <f>Model!AD81</f>
        <v>0</v>
      </c>
      <c r="Q43" s="324">
        <f>Model!AE81</f>
        <v>0</v>
      </c>
      <c r="R43" s="324">
        <f>Model!AF81</f>
        <v>0</v>
      </c>
      <c r="S43" s="324">
        <f>Model!AG81</f>
        <v>0</v>
      </c>
      <c r="T43" s="8"/>
      <c r="U43" s="8"/>
      <c r="V43" s="8"/>
      <c r="W43" s="8"/>
      <c r="X43" s="8"/>
      <c r="Y43" s="8"/>
      <c r="Z43" s="8"/>
      <c r="AA43" s="8"/>
      <c r="AB43" s="8"/>
      <c r="AC43" s="8"/>
    </row>
    <row r="44" ht="13.5" customHeight="1" spans="1:29" x14ac:dyDescent="0.25">
      <c r="A44" s="8"/>
      <c r="B44" s="8"/>
      <c r="C44" s="8"/>
      <c r="D44" s="8"/>
      <c r="E44" s="8"/>
      <c r="F44" s="8"/>
      <c r="G44" s="8"/>
      <c r="H44" s="8"/>
      <c r="I44" s="8"/>
      <c r="J44" s="770"/>
      <c r="K44" s="771"/>
      <c r="L44" s="771"/>
      <c r="M44" s="771"/>
      <c r="N44" s="772"/>
      <c r="O44" s="8"/>
      <c r="P44" s="8"/>
      <c r="Q44" s="8"/>
      <c r="R44" s="8"/>
      <c r="S44" s="8"/>
      <c r="T44" s="8"/>
      <c r="U44" s="8"/>
      <c r="V44" s="8"/>
      <c r="W44" s="8"/>
      <c r="X44" s="8"/>
      <c r="Y44" s="8"/>
      <c r="Z44" s="8"/>
      <c r="AA44" s="8"/>
      <c r="AB44" s="8"/>
      <c r="AC44" s="8"/>
    </row>
    <row r="45" ht="13.5" customHeight="1" spans="1:29" x14ac:dyDescent="0.25">
      <c r="A45" s="8"/>
      <c r="B45" s="406"/>
      <c r="C45" s="91" t="s">
        <v>917</v>
      </c>
      <c r="D45" s="91"/>
      <c r="E45" s="91"/>
      <c r="F45" s="91"/>
      <c r="G45" s="91"/>
      <c r="H45" s="91"/>
      <c r="I45" s="91"/>
      <c r="J45" s="785">
        <f t="shared" ref="J45:S45" si="1">SUM(J35:J43)</f>
        <v>4152.631</v>
      </c>
      <c r="K45" s="786">
        <f t="shared" si="1"/>
        <v>4379.486</v>
      </c>
      <c r="L45" s="786"/>
      <c r="M45" s="786">
        <f t="shared" si="1"/>
        <v>4358.186</v>
      </c>
      <c r="N45" s="787">
        <f t="shared" si="1"/>
        <v>455.5782290538083</v>
      </c>
      <c r="O45" s="409">
        <f t="shared" si="1"/>
        <v>1615.8711454416507</v>
      </c>
      <c r="P45" s="409">
        <f t="shared" si="1"/>
        <v>2864.8085844321863</v>
      </c>
      <c r="Q45" s="409">
        <f t="shared" si="1"/>
        <v>3277.7121743217913</v>
      </c>
      <c r="R45" s="409">
        <f t="shared" si="1"/>
        <v>3519.7518130890767</v>
      </c>
      <c r="S45" s="428">
        <f t="shared" si="1"/>
        <v>3651.4411977279533</v>
      </c>
      <c r="T45" s="8"/>
      <c r="U45" s="8"/>
      <c r="V45" s="8"/>
      <c r="W45" s="8"/>
      <c r="X45" s="8"/>
      <c r="Y45" s="8"/>
      <c r="Z45" s="8"/>
      <c r="AA45" s="8"/>
      <c r="AB45" s="8"/>
      <c r="AC45" s="8"/>
    </row>
    <row r="46" ht="13.5" customHeight="1" spans="1:29" x14ac:dyDescent="0.25">
      <c r="A46" s="8"/>
      <c r="B46" s="8"/>
      <c r="C46" s="296" t="s">
        <v>916</v>
      </c>
      <c r="D46" s="8"/>
      <c r="E46" s="8"/>
      <c r="F46" s="8"/>
      <c r="G46" s="8"/>
      <c r="H46" s="487"/>
      <c r="I46" s="487"/>
      <c r="J46" s="782"/>
      <c r="K46" s="783"/>
      <c r="L46" s="783"/>
      <c r="M46" s="783"/>
      <c r="N46" s="784"/>
      <c r="O46" s="487"/>
      <c r="P46" s="487">
        <f>P45/O45-1</f>
        <v>0.772918956139399</v>
      </c>
      <c r="Q46" s="487">
        <f>Q45/P45-1</f>
        <v>0.14412955620608892</v>
      </c>
      <c r="R46" s="487">
        <f>R45/Q45-1</f>
        <v>0.07384407961854289</v>
      </c>
      <c r="S46" s="487">
        <f>S45/R45-1</f>
        <v>0.03741439500056698</v>
      </c>
      <c r="T46" s="8"/>
      <c r="U46" s="8"/>
      <c r="V46" s="8"/>
      <c r="W46" s="8"/>
      <c r="X46" s="8"/>
      <c r="Y46" s="8"/>
      <c r="Z46" s="8"/>
      <c r="AA46" s="8"/>
      <c r="AB46" s="8"/>
      <c r="AC46" s="8"/>
    </row>
    <row r="47" ht="13.5" customHeight="1" spans="1:29" x14ac:dyDescent="0.25">
      <c r="A47" s="8"/>
      <c r="B47" s="8"/>
      <c r="C47" s="8"/>
      <c r="D47" s="8"/>
      <c r="E47" s="8"/>
      <c r="F47" s="8"/>
      <c r="G47" s="8"/>
      <c r="H47" s="8"/>
      <c r="I47" s="8"/>
      <c r="J47" s="770"/>
      <c r="K47" s="771"/>
      <c r="L47" s="771"/>
      <c r="M47" s="771"/>
      <c r="N47" s="772"/>
      <c r="O47" s="8"/>
      <c r="P47" s="8"/>
      <c r="Q47" s="8"/>
      <c r="R47" s="8"/>
      <c r="S47" s="8"/>
      <c r="T47" s="8"/>
      <c r="U47" s="8"/>
      <c r="V47" s="8"/>
      <c r="W47" s="8"/>
      <c r="X47" s="8"/>
      <c r="Y47" s="8"/>
      <c r="Z47" s="8"/>
      <c r="AA47" s="8"/>
      <c r="AB47" s="8"/>
      <c r="AC47" s="8"/>
    </row>
    <row r="48" ht="13.5" customHeight="1" spans="1:29" x14ac:dyDescent="0.25">
      <c r="A48" s="8"/>
      <c r="B48" s="406"/>
      <c r="C48" s="91" t="s">
        <v>918</v>
      </c>
      <c r="D48" s="91"/>
      <c r="E48" s="91"/>
      <c r="F48" s="91"/>
      <c r="G48" s="91"/>
      <c r="H48" s="91"/>
      <c r="I48" s="91"/>
      <c r="J48" s="785">
        <f>IF(J27=4,0,J45)</f>
        <v>4152.631</v>
      </c>
      <c r="K48" s="786">
        <f>IF(K27=4,0,K45)</f>
        <v>4379.486</v>
      </c>
      <c r="L48" s="786"/>
      <c r="M48" s="786">
        <f>IF(M27=4,0,M45)</f>
        <v>4358.186</v>
      </c>
      <c r="N48" s="787">
        <f>IF(N27=4,0,N45)</f>
        <v>455.5782290538083</v>
      </c>
      <c r="O48" s="409">
        <f>SUM(J48:N48)</f>
        <v>1615.881229053808</v>
      </c>
      <c r="P48" s="409">
        <f>SUM(P35:P43)</f>
        <v>2864.8085844321863</v>
      </c>
      <c r="Q48" s="409">
        <f>SUM(Q35:Q43)</f>
        <v>3277.7121743217913</v>
      </c>
      <c r="R48" s="409">
        <f>SUM(R35:R43)</f>
        <v>3519.7518130890767</v>
      </c>
      <c r="S48" s="428">
        <f>SUM(S35:S43)</f>
        <v>3651.4411977279533</v>
      </c>
      <c r="T48" s="8"/>
      <c r="U48" s="8"/>
      <c r="V48" s="8"/>
      <c r="W48" s="8"/>
      <c r="X48" s="8"/>
      <c r="Y48" s="8"/>
      <c r="Z48" s="8"/>
      <c r="AA48" s="8"/>
      <c r="AB48" s="8"/>
      <c r="AC48" s="8"/>
    </row>
    <row r="49" ht="13.5" customHeight="1" spans="1:29" x14ac:dyDescent="0.25">
      <c r="A49" s="8"/>
      <c r="B49" s="8"/>
      <c r="C49" s="8"/>
      <c r="D49" s="8"/>
      <c r="E49" s="8"/>
      <c r="F49" s="8"/>
      <c r="G49" s="8"/>
      <c r="H49" s="8"/>
      <c r="I49" s="8"/>
      <c r="J49" s="770"/>
      <c r="K49" s="771"/>
      <c r="L49" s="771"/>
      <c r="M49" s="771"/>
      <c r="N49" s="772"/>
      <c r="O49" s="8"/>
      <c r="P49" s="8"/>
      <c r="Q49" s="8"/>
      <c r="R49" s="8"/>
      <c r="S49" s="8"/>
      <c r="T49" s="8"/>
      <c r="U49" s="8"/>
      <c r="V49" s="8"/>
      <c r="W49" s="8"/>
      <c r="X49" s="8"/>
      <c r="Y49" s="8"/>
      <c r="Z49" s="8"/>
      <c r="AA49" s="8"/>
      <c r="AB49" s="8"/>
      <c r="AC49" s="8"/>
    </row>
    <row r="50" ht="13.5" customHeight="1" spans="1:29" x14ac:dyDescent="0.25">
      <c r="A50" s="8"/>
      <c r="B50" s="8"/>
      <c r="C50" s="296" t="s">
        <v>919</v>
      </c>
      <c r="D50" s="8"/>
      <c r="E50" s="8"/>
      <c r="F50" s="8"/>
      <c r="G50" s="8"/>
      <c r="H50" s="8"/>
      <c r="I50" s="8"/>
      <c r="J50" s="770"/>
      <c r="K50" s="771"/>
      <c r="L50" s="771"/>
      <c r="M50" s="771"/>
      <c r="N50" s="772"/>
      <c r="O50" s="788">
        <f>YEARFRAC(Current_Date,Next_FYE)</f>
        <v>0.20833333333333334</v>
      </c>
      <c r="P50" s="788">
        <f>O50+1</f>
        <v>1.2083333333333333</v>
      </c>
      <c r="Q50" s="788">
        <f>P50+1</f>
        <v>2.208333333333333</v>
      </c>
      <c r="R50" s="788">
        <f>Q50+1</f>
        <v>3.208333333333333</v>
      </c>
      <c r="S50" s="788">
        <f>R50+1</f>
        <v>4.208333333333333</v>
      </c>
      <c r="T50" s="8"/>
      <c r="U50" s="8"/>
      <c r="V50" s="8"/>
      <c r="W50" s="8"/>
      <c r="X50" s="8"/>
      <c r="Y50" s="8"/>
      <c r="Z50" s="8"/>
      <c r="AA50" s="8"/>
      <c r="AB50" s="8"/>
      <c r="AC50" s="8"/>
    </row>
    <row r="51" ht="13.5" customHeight="1" spans="1:29" x14ac:dyDescent="0.25">
      <c r="A51" s="8"/>
      <c r="B51" s="8"/>
      <c r="C51" s="296" t="s">
        <v>920</v>
      </c>
      <c r="D51" s="8"/>
      <c r="E51" s="8"/>
      <c r="F51" s="8"/>
      <c r="G51" s="8"/>
      <c r="H51" s="8"/>
      <c r="I51" s="8"/>
      <c r="J51" s="770"/>
      <c r="K51" s="771"/>
      <c r="L51" s="771"/>
      <c r="M51" s="771"/>
      <c r="N51" s="772"/>
      <c r="O51" s="788">
        <f>O50/2</f>
        <v>0.10416666666666667</v>
      </c>
      <c r="P51" s="788">
        <f>P50-0.5</f>
        <v>0.7083333333333333</v>
      </c>
      <c r="Q51" s="788">
        <f>Q50-0.5</f>
        <v>1.708333333333333</v>
      </c>
      <c r="R51" s="788">
        <f>R50-0.5</f>
        <v>2.708333333333333</v>
      </c>
      <c r="S51" s="788">
        <f>S50-0.5</f>
        <v>3.708333333333333</v>
      </c>
      <c r="T51" s="8"/>
      <c r="U51" s="8"/>
      <c r="V51" s="8"/>
      <c r="W51" s="8"/>
      <c r="X51" s="8"/>
      <c r="Y51" s="8"/>
      <c r="Z51" s="8"/>
      <c r="AA51" s="8"/>
      <c r="AB51" s="8"/>
      <c r="AC51" s="8"/>
    </row>
    <row r="52" ht="13.5" customHeight="1" spans="1:29" x14ac:dyDescent="0.25">
      <c r="A52" s="8"/>
      <c r="B52" s="8"/>
      <c r="C52" s="296" t="s">
        <v>921</v>
      </c>
      <c r="D52" s="8"/>
      <c r="E52" s="8"/>
      <c r="F52" s="8"/>
      <c r="G52" s="8"/>
      <c r="H52" s="8"/>
      <c r="I52" s="8"/>
      <c r="J52" s="770"/>
      <c r="K52" s="771"/>
      <c r="L52" s="771"/>
      <c r="M52" s="771"/>
      <c r="N52" s="772"/>
      <c r="O52" s="788" t="e">
        <f>IF($G$83="Yes",1/(1+$G$84)^O51,1/(1+$G$84)^O50)</f>
        <v>#DIV/0!</v>
      </c>
      <c r="P52" s="788" t="e">
        <f>IF($G$83="Yes",1/(1+$G$84)^P51,1/(1+$G$84)^P50)</f>
        <v>#DIV/0!</v>
      </c>
      <c r="Q52" s="788" t="e">
        <f>IF($G$83="Yes",1/(1+$G$84)^Q51,1/(1+$G$84)^Q50)</f>
        <v>#DIV/0!</v>
      </c>
      <c r="R52" s="788" t="e">
        <f>IF($G$83="Yes",1/(1+$G$84)^R51,1/(1+$G$84)^R50)</f>
        <v>#DIV/0!</v>
      </c>
      <c r="S52" s="788" t="e">
        <f>IF($G$83="Yes",1/(1+$G$84)^S51,1/(1+$G$84)^S50)</f>
        <v>#DIV/0!</v>
      </c>
      <c r="T52" s="8"/>
      <c r="U52" s="8"/>
      <c r="V52" s="8"/>
      <c r="W52" s="8"/>
      <c r="X52" s="8"/>
      <c r="Y52" s="8"/>
      <c r="Z52" s="8"/>
      <c r="AA52" s="8"/>
      <c r="AB52" s="8"/>
      <c r="AC52" s="8"/>
    </row>
    <row r="53" ht="13.5" customHeight="1" spans="1:29" x14ac:dyDescent="0.25">
      <c r="A53" s="8"/>
      <c r="B53" s="8"/>
      <c r="C53" s="8"/>
      <c r="D53" s="8"/>
      <c r="E53" s="8"/>
      <c r="F53" s="8"/>
      <c r="G53" s="8"/>
      <c r="H53" s="8"/>
      <c r="I53" s="8"/>
      <c r="J53" s="770"/>
      <c r="K53" s="771"/>
      <c r="L53" s="771"/>
      <c r="M53" s="771"/>
      <c r="N53" s="772"/>
      <c r="O53" s="8"/>
      <c r="P53" s="8"/>
      <c r="Q53" s="8"/>
      <c r="R53" s="8"/>
      <c r="S53" s="8"/>
      <c r="T53" s="8"/>
      <c r="U53" s="8"/>
      <c r="V53" s="8"/>
      <c r="W53" s="8"/>
      <c r="X53" s="8"/>
      <c r="Y53" s="8"/>
      <c r="Z53" s="8"/>
      <c r="AA53" s="8"/>
      <c r="AB53" s="8"/>
      <c r="AC53" s="8"/>
    </row>
    <row r="54" ht="13.5" customHeight="1" spans="1:29" x14ac:dyDescent="0.25">
      <c r="A54" s="8"/>
      <c r="B54" s="406"/>
      <c r="C54" s="91" t="s">
        <v>922</v>
      </c>
      <c r="D54" s="91"/>
      <c r="E54" s="91"/>
      <c r="F54" s="91"/>
      <c r="G54" s="91"/>
      <c r="H54" s="91"/>
      <c r="I54" s="91"/>
      <c r="J54" s="785"/>
      <c r="K54" s="786"/>
      <c r="L54" s="786"/>
      <c r="M54" s="786"/>
      <c r="N54" s="787"/>
      <c r="O54" s="409">
        <f>O48*O52</f>
        <v>1606.2566335071622</v>
      </c>
      <c r="P54" s="409">
        <f>P48*P52</f>
        <v>2750.7618811353877</v>
      </c>
      <c r="Q54" s="409">
        <f>Q48*Q52</f>
        <v>2971.809628442841</v>
      </c>
      <c r="R54" s="409">
        <f>R48*R52</f>
        <v>3013.3875922607676</v>
      </c>
      <c r="S54" s="428">
        <f>S48*S52</f>
        <v>2951.8891774849867</v>
      </c>
      <c r="T54" s="8"/>
      <c r="U54" s="8"/>
      <c r="V54" s="8"/>
      <c r="W54" s="8"/>
      <c r="X54" s="8"/>
      <c r="Y54" s="8"/>
      <c r="Z54" s="8"/>
      <c r="AA54" s="8"/>
      <c r="AB54" s="8"/>
      <c r="AC54" s="8"/>
    </row>
    <row r="55" ht="13.5" customHeight="1" spans="1:29" x14ac:dyDescent="0.25">
      <c r="A55" s="8"/>
      <c r="B55" s="8"/>
      <c r="C55" s="111" t="s">
        <v>247</v>
      </c>
      <c r="D55" s="8"/>
      <c r="E55" s="8"/>
      <c r="F55" s="8"/>
      <c r="G55" s="8"/>
      <c r="H55" s="8"/>
      <c r="I55" s="8"/>
      <c r="J55" s="770"/>
      <c r="K55" s="771"/>
      <c r="L55" s="771"/>
      <c r="M55" s="771"/>
      <c r="N55" s="772"/>
      <c r="O55" s="8"/>
      <c r="P55" s="487">
        <f>P54/O54-1</f>
        <v>0.7125295072738589</v>
      </c>
      <c r="Q55" s="487">
        <f>Q54/P54-1</f>
        <v>0.08035873581911601</v>
      </c>
      <c r="R55" s="487">
        <f>R54/Q54-1</f>
        <v>0.01399078979352808</v>
      </c>
      <c r="S55" s="487">
        <f>S54/R54-1</f>
        <v>-0.02040839848605147</v>
      </c>
      <c r="T55" s="8"/>
      <c r="U55" s="8"/>
      <c r="V55" s="8"/>
      <c r="W55" s="8"/>
      <c r="X55" s="8"/>
      <c r="Y55" s="8" t="s">
        <v>923</v>
      </c>
      <c r="Z55" s="8"/>
      <c r="AA55" s="8"/>
      <c r="AB55" s="8"/>
      <c r="AC55" s="8"/>
    </row>
    <row r="56" ht="13.5" customHeight="1" spans="1:29"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row>
    <row r="57" ht="13.5" customHeight="1" spans="1:29" x14ac:dyDescent="0.25">
      <c r="A57" s="8"/>
      <c r="B57" s="8"/>
      <c r="C57" s="8"/>
      <c r="D57" s="8"/>
      <c r="E57" s="8"/>
      <c r="F57" s="8"/>
      <c r="G57" s="83" t="s">
        <v>924</v>
      </c>
      <c r="H57" s="14"/>
      <c r="I57" s="14"/>
      <c r="J57" s="14"/>
      <c r="K57" s="15"/>
      <c r="L57" s="103"/>
      <c r="M57" s="8"/>
      <c r="N57" s="8"/>
      <c r="O57" s="83" t="s">
        <v>925</v>
      </c>
      <c r="P57" s="14"/>
      <c r="Q57" s="14"/>
      <c r="R57" s="14"/>
      <c r="S57" s="15"/>
      <c r="T57" s="8"/>
      <c r="U57" s="8"/>
      <c r="V57" s="8"/>
      <c r="W57" s="8"/>
      <c r="X57" s="8"/>
      <c r="Y57" s="83" t="s">
        <v>924</v>
      </c>
      <c r="Z57" s="14"/>
      <c r="AA57" s="14"/>
      <c r="AB57" s="14"/>
      <c r="AC57" s="15"/>
    </row>
    <row r="58" ht="4.5" customHeight="1" spans="1:29" x14ac:dyDescent="0.25">
      <c r="A58" s="8"/>
      <c r="B58" s="8"/>
      <c r="C58" s="8"/>
      <c r="D58" s="8"/>
      <c r="E58" s="8"/>
      <c r="F58" s="8"/>
      <c r="G58" s="182"/>
      <c r="H58" s="123"/>
      <c r="I58" s="123"/>
      <c r="J58" s="123"/>
      <c r="K58" s="276"/>
      <c r="L58" s="8"/>
      <c r="M58" s="8"/>
      <c r="N58" s="8"/>
      <c r="O58" s="182"/>
      <c r="P58" s="123"/>
      <c r="Q58" s="123"/>
      <c r="R58" s="123"/>
      <c r="S58" s="276"/>
      <c r="T58" s="8"/>
      <c r="U58" s="8"/>
      <c r="V58" s="8"/>
      <c r="W58" s="8"/>
      <c r="X58" s="181"/>
      <c r="Y58" s="123"/>
      <c r="Z58" s="123"/>
      <c r="AA58" s="123"/>
      <c r="AB58" s="123"/>
      <c r="AC58" s="276"/>
    </row>
    <row r="59" ht="13.5" customHeight="1" spans="1:29" x14ac:dyDescent="0.25">
      <c r="A59" s="8"/>
      <c r="B59" s="8"/>
      <c r="C59" s="8"/>
      <c r="D59" s="8"/>
      <c r="E59" s="8"/>
      <c r="F59" s="181"/>
      <c r="G59" s="8" t="s">
        <v>926</v>
      </c>
      <c r="H59" s="8"/>
      <c r="I59" s="8"/>
      <c r="J59" s="8"/>
      <c r="K59" s="789">
        <f>Model!AG61</f>
        <v>6731.022454851831</v>
      </c>
      <c r="L59" s="275"/>
      <c r="M59" s="8"/>
      <c r="N59" s="8"/>
      <c r="O59" s="180" t="s">
        <v>927</v>
      </c>
      <c r="P59" s="8"/>
      <c r="Q59" s="8"/>
      <c r="R59" s="8"/>
      <c r="S59" s="790">
        <f>S48</f>
        <v>3651.4411977279533</v>
      </c>
      <c r="T59" s="8"/>
      <c r="U59" s="8"/>
      <c r="V59" s="8"/>
      <c r="W59" s="8"/>
      <c r="X59" s="181"/>
      <c r="Y59" s="8" t="s">
        <v>926</v>
      </c>
      <c r="Z59" s="8"/>
      <c r="AA59" s="8"/>
      <c r="AB59" s="8"/>
      <c r="AC59" s="789">
        <f>S32</f>
        <v>6731.022454851831</v>
      </c>
    </row>
    <row r="60" ht="15" customHeight="1" spans="1:29" x14ac:dyDescent="0.25">
      <c r="A60" s="8"/>
      <c r="B60" s="8"/>
      <c r="C60" s="8"/>
      <c r="D60" s="8"/>
      <c r="E60" s="8"/>
      <c r="F60" s="181"/>
      <c r="G60" s="8" t="s">
        <v>928</v>
      </c>
      <c r="H60" s="8"/>
      <c r="I60" s="8"/>
      <c r="J60" s="8"/>
      <c r="K60" s="791">
        <f>G87</f>
        <v>14</v>
      </c>
      <c r="L60" s="792"/>
      <c r="M60" s="8"/>
      <c r="N60" s="8"/>
      <c r="O60" s="180" t="s">
        <v>929</v>
      </c>
      <c r="P60" s="8"/>
      <c r="Q60" s="8"/>
      <c r="R60" s="8"/>
      <c r="S60" s="793">
        <f>G86</f>
        <v>0.0225</v>
      </c>
      <c r="T60" s="8"/>
      <c r="U60" s="8"/>
      <c r="V60" s="8"/>
      <c r="W60" s="8"/>
      <c r="X60" s="181"/>
      <c r="Y60" s="8" t="s">
        <v>928</v>
      </c>
      <c r="Z60" s="8"/>
      <c r="AA60" s="8"/>
      <c r="AB60" s="8"/>
      <c r="AC60" s="791" t="e">
        <f>_xludf.IFS(Case_Scenario="Base",Valuation!J85,Case_Scenario="Bull",Valuation!J86,Case_Scenario="Bear",Valuation!J84)</f>
        <v>#NAME?</v>
      </c>
    </row>
    <row r="61" ht="13.5" customHeight="1" spans="1:29" x14ac:dyDescent="0.25">
      <c r="A61" s="8"/>
      <c r="B61" s="8"/>
      <c r="C61" s="8"/>
      <c r="D61" s="8"/>
      <c r="E61" s="8"/>
      <c r="F61" s="181"/>
      <c r="G61" s="8" t="s">
        <v>930</v>
      </c>
      <c r="H61" s="8"/>
      <c r="I61" s="8"/>
      <c r="J61" s="8"/>
      <c r="K61" s="794">
        <f>K59*K60</f>
        <v>94234.31436792563</v>
      </c>
      <c r="L61" s="127"/>
      <c r="M61" s="8"/>
      <c r="N61" s="8"/>
      <c r="O61" s="180" t="s">
        <v>930</v>
      </c>
      <c r="P61" s="8"/>
      <c r="Q61" s="8"/>
      <c r="R61" s="8"/>
      <c r="S61" s="794">
        <f>(S59*(1+S60))/(Discount_Rate-S60)</f>
        <v>102213.50538660036</v>
      </c>
      <c r="T61" s="8"/>
      <c r="U61" s="8"/>
      <c r="V61" s="8"/>
      <c r="W61" s="8"/>
      <c r="X61" s="181"/>
      <c r="Y61" s="8" t="s">
        <v>930</v>
      </c>
      <c r="Z61" s="8"/>
      <c r="AA61" s="8"/>
      <c r="AB61" s="8"/>
      <c r="AC61" s="794" t="e">
        <f>AC59*AC60</f>
        <v>#NAME?</v>
      </c>
    </row>
    <row r="62" ht="13.5" customHeight="1" spans="1:29" x14ac:dyDescent="0.25">
      <c r="A62" s="8"/>
      <c r="B62" s="8"/>
      <c r="C62" s="8"/>
      <c r="D62" s="8"/>
      <c r="E62" s="8"/>
      <c r="F62" s="181"/>
      <c r="G62" s="8" t="s">
        <v>931</v>
      </c>
      <c r="H62" s="8"/>
      <c r="I62" s="8"/>
      <c r="J62" s="8"/>
      <c r="K62" s="794">
        <f>K61*S52</f>
        <v>76180.67433305066</v>
      </c>
      <c r="L62" s="127"/>
      <c r="M62" s="8"/>
      <c r="N62" s="8"/>
      <c r="O62" s="180" t="s">
        <v>931</v>
      </c>
      <c r="P62" s="8"/>
      <c r="Q62" s="8"/>
      <c r="R62" s="8"/>
      <c r="S62" s="794">
        <f>S61*S52</f>
        <v>82631.19245388667</v>
      </c>
      <c r="T62" s="8"/>
      <c r="U62" s="8"/>
      <c r="V62" s="8"/>
      <c r="W62" s="8"/>
      <c r="X62" s="181"/>
      <c r="Y62" s="8" t="s">
        <v>931</v>
      </c>
      <c r="Z62" s="8"/>
      <c r="AA62" s="8"/>
      <c r="AB62" s="8"/>
      <c r="AC62" s="794" t="e">
        <f>AC61*S52</f>
        <v>#NAME?</v>
      </c>
    </row>
    <row r="63" ht="13.5" customHeight="1" spans="1:29" x14ac:dyDescent="0.25">
      <c r="A63" s="8"/>
      <c r="B63" s="8"/>
      <c r="C63" s="8"/>
      <c r="D63" s="8"/>
      <c r="E63" s="8"/>
      <c r="F63" s="181"/>
      <c r="G63" s="8" t="s">
        <v>932</v>
      </c>
      <c r="H63" s="8"/>
      <c r="I63" s="8"/>
      <c r="J63" s="8"/>
      <c r="K63" s="794">
        <f>SUM(O54:S54)</f>
        <v>13294.104912831146</v>
      </c>
      <c r="L63" s="127"/>
      <c r="M63" s="8"/>
      <c r="N63" s="8"/>
      <c r="O63" s="180" t="s">
        <v>932</v>
      </c>
      <c r="P63" s="8"/>
      <c r="Q63" s="8"/>
      <c r="R63" s="8"/>
      <c r="S63" s="794">
        <f>SUM(O54:S54)</f>
        <v>13294.104912831146</v>
      </c>
      <c r="T63" s="8"/>
      <c r="U63" s="8"/>
      <c r="V63" s="8"/>
      <c r="W63" s="8"/>
      <c r="X63" s="181"/>
      <c r="Y63" s="8" t="s">
        <v>932</v>
      </c>
      <c r="Z63" s="8"/>
      <c r="AA63" s="8"/>
      <c r="AB63" s="8"/>
      <c r="AC63" s="794">
        <f>SUM(O54:S54)</f>
        <v>13294.104912831146</v>
      </c>
    </row>
    <row r="64" ht="13.5" customHeight="1" spans="1:29" x14ac:dyDescent="0.25">
      <c r="A64" s="8"/>
      <c r="B64" s="8"/>
      <c r="C64" s="8"/>
      <c r="D64" s="8"/>
      <c r="E64" s="8"/>
      <c r="F64" s="181"/>
      <c r="G64" s="8"/>
      <c r="H64" s="8"/>
      <c r="I64" s="8"/>
      <c r="J64" s="8"/>
      <c r="K64" s="181"/>
      <c r="L64" s="8"/>
      <c r="M64" s="8"/>
      <c r="N64" s="8"/>
      <c r="O64" s="180"/>
      <c r="P64" s="8"/>
      <c r="Q64" s="8"/>
      <c r="R64" s="8"/>
      <c r="S64" s="181"/>
      <c r="T64" s="8"/>
      <c r="U64" s="8"/>
      <c r="V64" s="8"/>
      <c r="W64" s="8"/>
      <c r="X64" s="181"/>
      <c r="Y64" s="8"/>
      <c r="Z64" s="8"/>
      <c r="AA64" s="8"/>
      <c r="AB64" s="8"/>
      <c r="AC64" s="181"/>
    </row>
    <row r="65" ht="13.5" customHeight="1" spans="1:29" x14ac:dyDescent="0.25">
      <c r="A65" s="8"/>
      <c r="B65" s="8"/>
      <c r="C65" s="8"/>
      <c r="D65" s="8"/>
      <c r="E65" s="8"/>
      <c r="F65" s="181"/>
      <c r="G65" s="123" t="s">
        <v>10</v>
      </c>
      <c r="H65" s="123"/>
      <c r="I65" s="123"/>
      <c r="J65" s="123"/>
      <c r="K65" s="795">
        <f>K62+K63</f>
        <v>89474.7792458818</v>
      </c>
      <c r="L65" s="107"/>
      <c r="M65" s="8"/>
      <c r="N65" s="8"/>
      <c r="O65" s="182" t="s">
        <v>10</v>
      </c>
      <c r="P65" s="123"/>
      <c r="Q65" s="123"/>
      <c r="R65" s="123"/>
      <c r="S65" s="795">
        <f>S62+S63</f>
        <v>95925.29736671782</v>
      </c>
      <c r="T65" s="8"/>
      <c r="U65" s="8"/>
      <c r="V65" s="8"/>
      <c r="W65" s="8"/>
      <c r="X65" s="181"/>
      <c r="Y65" s="123" t="s">
        <v>10</v>
      </c>
      <c r="Z65" s="123"/>
      <c r="AA65" s="123"/>
      <c r="AB65" s="123"/>
      <c r="AC65" s="795" t="e">
        <f>AC62+AC63</f>
        <v>#NAME?</v>
      </c>
    </row>
    <row r="66" ht="13.5" customHeight="1" spans="1:29" x14ac:dyDescent="0.25">
      <c r="A66" s="8"/>
      <c r="B66" s="8"/>
      <c r="C66" s="8"/>
      <c r="D66" s="8"/>
      <c r="E66" s="8"/>
      <c r="F66" s="181"/>
      <c r="G66" s="8" t="s">
        <v>933</v>
      </c>
      <c r="H66" s="8"/>
      <c r="I66" s="8"/>
      <c r="J66" s="8"/>
      <c r="K66" s="796">
        <f>IF(Last_FQR="1Q",Model!$U$123,IF(Last_FQR="2Q",Model!$V$123,IF(Last_FQR="3Q",Model!$W$123,Model!$X$123)))</f>
        <v>58.332247659647805</v>
      </c>
      <c r="L66" s="797"/>
      <c r="M66" s="8"/>
      <c r="N66" s="8"/>
      <c r="O66" s="180" t="s">
        <v>933</v>
      </c>
      <c r="P66" s="8"/>
      <c r="Q66" s="8"/>
      <c r="R66" s="8"/>
      <c r="S66" s="794">
        <f t="shared" ref="S66:S71" si="2">K66</f>
        <v>58.332247659647805</v>
      </c>
      <c r="T66" s="8"/>
      <c r="U66" s="8"/>
      <c r="V66" s="8"/>
      <c r="W66" s="8"/>
      <c r="X66" s="181"/>
      <c r="Y66" s="8" t="s">
        <v>933</v>
      </c>
      <c r="Z66" s="8"/>
      <c r="AA66" s="8"/>
      <c r="AB66" s="8"/>
      <c r="AC66" s="796">
        <f>Model!$V$123</f>
        <v>0</v>
      </c>
    </row>
    <row r="67" ht="13.5" customHeight="1" spans="1:29" x14ac:dyDescent="0.25">
      <c r="A67" s="8"/>
      <c r="B67" s="8"/>
      <c r="C67" s="8"/>
      <c r="D67" s="8"/>
      <c r="E67" s="8"/>
      <c r="F67" s="181"/>
      <c r="G67" s="8" t="s">
        <v>934</v>
      </c>
      <c r="H67" s="8"/>
      <c r="I67" s="8"/>
      <c r="J67" s="8"/>
      <c r="K67" s="796">
        <f>WACC!$M$8</f>
        <v>0</v>
      </c>
      <c r="L67" s="797"/>
      <c r="M67" s="8"/>
      <c r="N67" s="8"/>
      <c r="O67" s="180" t="s">
        <v>934</v>
      </c>
      <c r="P67" s="8"/>
      <c r="Q67" s="8"/>
      <c r="R67" s="8"/>
      <c r="S67" s="794">
        <f t="shared" si="2"/>
        <v>0</v>
      </c>
      <c r="T67" s="8"/>
      <c r="U67" s="8"/>
      <c r="V67" s="8"/>
      <c r="W67" s="8"/>
      <c r="X67" s="181"/>
      <c r="Y67" s="8" t="s">
        <v>934</v>
      </c>
      <c r="Z67" s="8"/>
      <c r="AA67" s="8"/>
      <c r="AB67" s="8"/>
      <c r="AC67" s="796">
        <f>WACC!$M$8</f>
        <v>0</v>
      </c>
    </row>
    <row r="68" ht="13.5" customHeight="1" spans="1:29" x14ac:dyDescent="0.25">
      <c r="A68" s="8"/>
      <c r="B68" s="8"/>
      <c r="C68" s="8"/>
      <c r="D68" s="8"/>
      <c r="E68" s="8"/>
      <c r="F68" s="181"/>
      <c r="G68" s="8" t="s">
        <v>935</v>
      </c>
      <c r="H68" s="8"/>
      <c r="I68" s="8"/>
      <c r="J68" s="8"/>
      <c r="K68" s="796">
        <f>-IF(Last_FQR="1Q",Model!$U$142+Model!$U$143,IF(Last_FQR="2Q",Model!$V$142+Model!$V$143,IF(Last_FQR="3Q",Model!$W$142+Model!$W$143,Model!$X$142+Model!$X$143)))</f>
        <v>-12747.758563460919</v>
      </c>
      <c r="L68" s="797"/>
      <c r="M68" s="8"/>
      <c r="N68" s="8"/>
      <c r="O68" s="180" t="s">
        <v>935</v>
      </c>
      <c r="P68" s="8"/>
      <c r="Q68" s="8"/>
      <c r="R68" s="8"/>
      <c r="S68" s="794">
        <f t="shared" si="2"/>
        <v>-12747.758563460919</v>
      </c>
      <c r="T68" s="8"/>
      <c r="U68" s="8"/>
      <c r="V68" s="8"/>
      <c r="W68" s="8"/>
      <c r="X68" s="181"/>
      <c r="Y68" s="8" t="s">
        <v>935</v>
      </c>
      <c r="Z68" s="8"/>
      <c r="AA68" s="8"/>
      <c r="AB68" s="8"/>
      <c r="AC68" s="796">
        <f>-(Model!$V$142+Model!$V$143)</f>
        <v>0</v>
      </c>
    </row>
    <row r="69" ht="13.5" customHeight="1" spans="1:29" x14ac:dyDescent="0.25">
      <c r="A69" s="8"/>
      <c r="B69" s="8"/>
      <c r="C69" s="8"/>
      <c r="D69" s="8"/>
      <c r="E69" s="8"/>
      <c r="F69" s="181"/>
      <c r="G69" s="8" t="s">
        <v>936</v>
      </c>
      <c r="H69" s="8"/>
      <c r="I69" s="8"/>
      <c r="J69" s="8"/>
      <c r="K69" s="798">
        <v>0</v>
      </c>
      <c r="L69" s="799"/>
      <c r="M69" s="8"/>
      <c r="N69" s="8"/>
      <c r="O69" s="180" t="s">
        <v>936</v>
      </c>
      <c r="P69" s="8"/>
      <c r="Q69" s="8"/>
      <c r="R69" s="8"/>
      <c r="S69" s="794">
        <f t="shared" si="2"/>
        <v>0</v>
      </c>
      <c r="T69" s="8"/>
      <c r="U69" s="8"/>
      <c r="V69" s="8"/>
      <c r="W69" s="8"/>
      <c r="X69" s="181"/>
      <c r="Y69" s="8" t="s">
        <v>936</v>
      </c>
      <c r="Z69" s="8"/>
      <c r="AA69" s="8"/>
      <c r="AB69" s="8"/>
      <c r="AC69" s="798">
        <v>0</v>
      </c>
    </row>
    <row r="70" ht="13.5" customHeight="1" spans="1:29" x14ac:dyDescent="0.25">
      <c r="A70" s="8"/>
      <c r="B70" s="8"/>
      <c r="C70" s="8"/>
      <c r="D70" s="8"/>
      <c r="E70" s="8"/>
      <c r="F70" s="181"/>
      <c r="G70" s="8" t="s">
        <v>937</v>
      </c>
      <c r="H70" s="8"/>
      <c r="I70" s="8"/>
      <c r="J70" s="8"/>
      <c r="K70" s="796">
        <f>-IF(Last_FQR="1Q",Model!$U$156,IF(Last_FQR="2Q",Model!$V$156,IF(Last_FQR="3Q",Model!$W$156,Model!$X$156)))</f>
        <v>0</v>
      </c>
      <c r="L70" s="797"/>
      <c r="M70" s="8"/>
      <c r="N70" s="8"/>
      <c r="O70" s="180" t="s">
        <v>937</v>
      </c>
      <c r="P70" s="8"/>
      <c r="Q70" s="8"/>
      <c r="R70" s="8"/>
      <c r="S70" s="794">
        <f t="shared" si="2"/>
        <v>0</v>
      </c>
      <c r="T70" s="8"/>
      <c r="U70" s="8"/>
      <c r="V70" s="8"/>
      <c r="W70" s="8"/>
      <c r="X70" s="181"/>
      <c r="Y70" s="8" t="s">
        <v>937</v>
      </c>
      <c r="Z70" s="8"/>
      <c r="AA70" s="8"/>
      <c r="AB70" s="8"/>
      <c r="AC70" s="796">
        <f>-Model!$V$156</f>
        <v>0</v>
      </c>
    </row>
    <row r="71" ht="13.5" customHeight="1" spans="1:29" x14ac:dyDescent="0.25">
      <c r="A71" s="8"/>
      <c r="B71" s="8"/>
      <c r="C71" s="8"/>
      <c r="D71" s="8"/>
      <c r="E71" s="8"/>
      <c r="F71" s="181"/>
      <c r="G71" s="8" t="s">
        <v>938</v>
      </c>
      <c r="H71" s="8"/>
      <c r="I71" s="8"/>
      <c r="J71" s="8"/>
      <c r="K71" s="798">
        <v>0</v>
      </c>
      <c r="L71" s="799"/>
      <c r="M71" s="8"/>
      <c r="N71" s="8"/>
      <c r="O71" s="180" t="s">
        <v>938</v>
      </c>
      <c r="P71" s="8"/>
      <c r="Q71" s="8"/>
      <c r="R71" s="8"/>
      <c r="S71" s="794">
        <f t="shared" si="2"/>
        <v>0</v>
      </c>
      <c r="T71" s="8"/>
      <c r="U71" s="8"/>
      <c r="V71" s="8"/>
      <c r="W71" s="8"/>
      <c r="X71" s="181"/>
      <c r="Y71" s="8" t="s">
        <v>938</v>
      </c>
      <c r="Z71" s="8"/>
      <c r="AA71" s="8"/>
      <c r="AB71" s="8"/>
      <c r="AC71" s="798">
        <v>0</v>
      </c>
    </row>
    <row r="72" ht="13.5" customHeight="1" spans="1:29" x14ac:dyDescent="0.25">
      <c r="A72" s="8"/>
      <c r="B72" s="8"/>
      <c r="C72" s="8"/>
      <c r="D72" s="8"/>
      <c r="E72" s="8"/>
      <c r="F72" s="181"/>
      <c r="G72" s="123" t="s">
        <v>13</v>
      </c>
      <c r="H72" s="123"/>
      <c r="I72" s="123"/>
      <c r="J72" s="123"/>
      <c r="K72" s="795">
        <f>SUM(K65:K71)</f>
        <v>76784.35293008054</v>
      </c>
      <c r="L72" s="107"/>
      <c r="M72" s="8"/>
      <c r="N72" s="8"/>
      <c r="O72" s="182" t="s">
        <v>13</v>
      </c>
      <c r="P72" s="123"/>
      <c r="Q72" s="123"/>
      <c r="R72" s="123"/>
      <c r="S72" s="795">
        <f>SUM(S65:S71)</f>
        <v>83234.87105091655</v>
      </c>
      <c r="T72" s="8"/>
      <c r="U72" s="8"/>
      <c r="V72" s="8"/>
      <c r="W72" s="8"/>
      <c r="X72" s="181"/>
      <c r="Y72" s="123" t="s">
        <v>13</v>
      </c>
      <c r="Z72" s="123"/>
      <c r="AA72" s="123"/>
      <c r="AB72" s="123"/>
      <c r="AC72" s="795" t="e">
        <f>SUM(AC65:AC71)</f>
        <v>#NAME?</v>
      </c>
    </row>
    <row r="73" ht="13.5" customHeight="1" spans="1:29" x14ac:dyDescent="0.25">
      <c r="A73" s="8"/>
      <c r="B73" s="8"/>
      <c r="C73" s="8"/>
      <c r="D73" s="8"/>
      <c r="E73" s="8"/>
      <c r="F73" s="181"/>
      <c r="G73" s="8"/>
      <c r="H73" s="8"/>
      <c r="I73" s="8"/>
      <c r="J73" s="8"/>
      <c r="K73" s="181"/>
      <c r="L73" s="8"/>
      <c r="M73" s="8"/>
      <c r="N73" s="8"/>
      <c r="O73" s="180"/>
      <c r="P73" s="8"/>
      <c r="Q73" s="8"/>
      <c r="R73" s="8"/>
      <c r="S73" s="181"/>
      <c r="T73" s="8"/>
      <c r="U73" s="8"/>
      <c r="V73" s="8"/>
      <c r="W73" s="8"/>
      <c r="X73" s="181"/>
      <c r="Y73" s="8"/>
      <c r="Z73" s="8"/>
      <c r="AA73" s="8"/>
      <c r="AB73" s="8"/>
      <c r="AC73" s="181"/>
    </row>
    <row r="74" ht="13.5" customHeight="1" spans="1:29" x14ac:dyDescent="0.25">
      <c r="A74" s="8"/>
      <c r="B74" s="8"/>
      <c r="C74" s="8"/>
      <c r="D74" s="8"/>
      <c r="E74" s="8"/>
      <c r="F74" s="181"/>
      <c r="G74" s="8" t="s">
        <v>939</v>
      </c>
      <c r="H74" s="8"/>
      <c r="I74" s="8"/>
      <c r="J74" s="8"/>
      <c r="K74" s="800">
        <f>Diluted_Shares</f>
        <v>0</v>
      </c>
      <c r="L74" s="370"/>
      <c r="M74" s="8"/>
      <c r="N74" s="8"/>
      <c r="O74" s="180" t="s">
        <v>939</v>
      </c>
      <c r="P74" s="8"/>
      <c r="Q74" s="8"/>
      <c r="R74" s="8"/>
      <c r="S74" s="801">
        <f>K74</f>
        <v>0</v>
      </c>
      <c r="T74" s="8"/>
      <c r="U74" s="8"/>
      <c r="V74" s="8"/>
      <c r="W74" s="8"/>
      <c r="X74" s="181"/>
      <c r="Y74" s="8" t="s">
        <v>939</v>
      </c>
      <c r="Z74" s="8"/>
      <c r="AA74" s="8"/>
      <c r="AB74" s="8"/>
      <c r="AC74" s="800">
        <f>Diluted_Shares</f>
        <v>0</v>
      </c>
    </row>
    <row r="75" ht="13.5" customHeight="1" spans="1:29" x14ac:dyDescent="0.25">
      <c r="A75" s="8"/>
      <c r="B75" s="8"/>
      <c r="C75" s="8"/>
      <c r="D75" s="8"/>
      <c r="E75" s="8"/>
      <c r="F75" s="8"/>
      <c r="G75" s="180"/>
      <c r="H75" s="8"/>
      <c r="I75" s="8"/>
      <c r="J75" s="8"/>
      <c r="K75" s="181"/>
      <c r="L75" s="8"/>
      <c r="M75" s="8"/>
      <c r="N75" s="8"/>
      <c r="O75" s="180"/>
      <c r="P75" s="8"/>
      <c r="Q75" s="8"/>
      <c r="R75" s="8"/>
      <c r="S75" s="181"/>
      <c r="T75" s="8"/>
      <c r="U75" s="8"/>
      <c r="V75" s="8"/>
      <c r="W75" s="8"/>
      <c r="X75" s="181"/>
      <c r="Y75" s="8"/>
      <c r="Z75" s="8"/>
      <c r="AA75" s="8"/>
      <c r="AB75" s="8"/>
      <c r="AC75" s="181"/>
    </row>
    <row r="76" ht="13.5" customHeight="1" spans="1:29" x14ac:dyDescent="0.25">
      <c r="A76" s="8"/>
      <c r="B76" s="8"/>
      <c r="C76" s="8"/>
      <c r="D76" s="8"/>
      <c r="E76" s="8"/>
      <c r="F76" s="8"/>
      <c r="G76" s="182" t="s">
        <v>15</v>
      </c>
      <c r="H76" s="123"/>
      <c r="I76" s="123"/>
      <c r="J76" s="123"/>
      <c r="K76" s="802">
        <f>K72/K74</f>
        <v>245.8672844382982</v>
      </c>
      <c r="L76" s="118"/>
      <c r="M76" s="8"/>
      <c r="N76" s="8"/>
      <c r="O76" s="182" t="s">
        <v>15</v>
      </c>
      <c r="P76" s="123"/>
      <c r="Q76" s="123"/>
      <c r="R76" s="123"/>
      <c r="S76" s="802">
        <f>S72/S74</f>
        <v>266.5221615463226</v>
      </c>
      <c r="T76" s="8"/>
      <c r="U76" s="8"/>
      <c r="V76" s="8"/>
      <c r="W76" s="8"/>
      <c r="X76" s="181"/>
      <c r="Y76" s="123" t="s">
        <v>15</v>
      </c>
      <c r="Z76" s="123"/>
      <c r="AA76" s="123"/>
      <c r="AB76" s="123"/>
      <c r="AC76" s="802" t="e">
        <f>AC72/AC74</f>
        <v>#NAME?</v>
      </c>
    </row>
    <row r="77" ht="13.5" customHeight="1" spans="1:29" x14ac:dyDescent="0.25">
      <c r="A77" s="8"/>
      <c r="B77" s="8"/>
      <c r="C77" s="8"/>
      <c r="D77" s="8"/>
      <c r="E77" s="8"/>
      <c r="F77" s="8"/>
      <c r="G77" s="803" t="s">
        <v>12</v>
      </c>
      <c r="H77" s="122"/>
      <c r="I77" s="122"/>
      <c r="J77" s="122"/>
      <c r="K77" s="804">
        <f>K76/Share_Price-1</f>
        <v>0.19035238169110724</v>
      </c>
      <c r="L77" s="112"/>
      <c r="M77" s="8"/>
      <c r="N77" s="8"/>
      <c r="O77" s="803" t="s">
        <v>12</v>
      </c>
      <c r="P77" s="122"/>
      <c r="Q77" s="122"/>
      <c r="R77" s="122"/>
      <c r="S77" s="804">
        <f>S76/Share_Price-1</f>
        <v>0.29035178671664275</v>
      </c>
      <c r="T77" s="8"/>
      <c r="U77" s="8"/>
      <c r="V77" s="8"/>
      <c r="W77" s="8"/>
      <c r="X77" s="8"/>
      <c r="Y77" s="803" t="s">
        <v>12</v>
      </c>
      <c r="Z77" s="122"/>
      <c r="AA77" s="122"/>
      <c r="AB77" s="122"/>
      <c r="AC77" s="804" t="e">
        <f>AC76/Share_Price-1</f>
        <v>#NAME?</v>
      </c>
    </row>
    <row r="78" ht="13.5" customHeight="1" spans="1:29"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row>
    <row r="79" ht="13.5" customHeight="1" spans="1:29" x14ac:dyDescent="0.25">
      <c r="A79" s="8"/>
      <c r="B79" s="8"/>
      <c r="C79" s="8"/>
      <c r="D79" s="8"/>
      <c r="E79" s="8"/>
      <c r="F79" s="8"/>
      <c r="G79" s="8" t="s">
        <v>940</v>
      </c>
      <c r="H79" s="8"/>
      <c r="I79" s="8"/>
      <c r="J79" s="8"/>
      <c r="K79" s="805">
        <f>S61/K59</f>
        <v>15.185435210206911</v>
      </c>
      <c r="L79" s="806"/>
      <c r="M79" s="8"/>
      <c r="N79" s="8"/>
      <c r="O79" s="8" t="s">
        <v>941</v>
      </c>
      <c r="P79" s="8"/>
      <c r="Q79" s="8"/>
      <c r="R79" s="8"/>
      <c r="S79" s="807">
        <f>(K61*Discount_Rate-S59)/(S59+K61)</f>
        <v>0.019522452420801154</v>
      </c>
      <c r="T79" s="8"/>
      <c r="U79" s="8"/>
      <c r="V79" s="8"/>
      <c r="W79" s="8"/>
      <c r="X79" s="8"/>
      <c r="Y79" s="8" t="s">
        <v>940</v>
      </c>
      <c r="Z79" s="8"/>
      <c r="AA79" s="8"/>
      <c r="AB79" s="8"/>
      <c r="AC79" s="805">
        <f>S61/AC59</f>
        <v>15.185435210206911</v>
      </c>
    </row>
    <row r="80" ht="13.5" customHeight="1" spans="1:29"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row>
    <row r="81" ht="13.5" customHeight="1" spans="1:29" x14ac:dyDescent="0.25">
      <c r="A81" s="257" t="s">
        <v>3</v>
      </c>
      <c r="B81" s="8"/>
      <c r="C81" s="729" t="s">
        <v>43</v>
      </c>
      <c r="D81" s="14"/>
      <c r="E81" s="14"/>
      <c r="F81" s="14"/>
      <c r="G81" s="14"/>
      <c r="H81" s="14"/>
      <c r="I81" s="14"/>
      <c r="J81" s="14"/>
      <c r="K81" s="14"/>
      <c r="L81" s="14"/>
      <c r="M81" s="14"/>
      <c r="N81" s="14"/>
      <c r="O81" s="14"/>
      <c r="P81" s="14"/>
      <c r="Q81" s="14"/>
      <c r="R81" s="14"/>
      <c r="S81" s="15"/>
      <c r="T81" s="257" t="s">
        <v>3</v>
      </c>
      <c r="U81" s="8"/>
      <c r="V81" s="8"/>
      <c r="W81" s="8"/>
      <c r="X81" s="8"/>
      <c r="Y81" s="8"/>
      <c r="Z81" s="8"/>
      <c r="AA81" s="8"/>
      <c r="AB81" s="8"/>
      <c r="AC81" s="8"/>
    </row>
    <row r="82" ht="4.5" customHeight="1" spans="1:29"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ht="13.5" customHeight="1" spans="1:29" x14ac:dyDescent="0.25">
      <c r="A83" s="8"/>
      <c r="B83" s="8"/>
      <c r="C83" s="130" t="s">
        <v>920</v>
      </c>
      <c r="D83" s="8"/>
      <c r="E83" s="8"/>
      <c r="F83" s="8"/>
      <c r="G83" s="35" t="s">
        <v>942</v>
      </c>
      <c r="H83" s="8"/>
      <c r="I83" s="202" t="s">
        <v>145</v>
      </c>
      <c r="J83" s="808"/>
      <c r="K83" s="8"/>
      <c r="L83" s="8"/>
      <c r="M83" s="8"/>
      <c r="N83" s="8"/>
      <c r="O83" s="8"/>
      <c r="P83" s="8"/>
      <c r="Q83" s="8"/>
      <c r="R83" s="8"/>
      <c r="S83" s="8"/>
      <c r="T83" s="8"/>
      <c r="U83" s="8"/>
      <c r="V83" s="8"/>
      <c r="W83" s="8"/>
      <c r="X83" s="8"/>
      <c r="Y83" s="8"/>
      <c r="Z83" s="8"/>
      <c r="AA83" s="8"/>
      <c r="AB83" s="8"/>
      <c r="AC83" s="8"/>
    </row>
    <row r="84" ht="13.5" customHeight="1" spans="1:29" x14ac:dyDescent="0.25">
      <c r="A84" s="8"/>
      <c r="B84" s="8"/>
      <c r="C84" s="8" t="s">
        <v>943</v>
      </c>
      <c r="D84" s="8"/>
      <c r="E84" s="8"/>
      <c r="F84" s="8"/>
      <c r="G84" s="809" t="e">
        <f>Discount_Rate</f>
        <v>#DIV/0!</v>
      </c>
      <c r="H84" s="8"/>
      <c r="I84" s="8" t="s">
        <v>944</v>
      </c>
      <c r="J84" s="810">
        <f>J85-2.5</f>
        <v>11.5</v>
      </c>
      <c r="K84" s="8"/>
      <c r="L84" s="8"/>
      <c r="M84" s="8"/>
      <c r="N84" s="8"/>
      <c r="O84" s="8"/>
      <c r="P84" s="8"/>
      <c r="Q84" s="8"/>
      <c r="R84" s="8"/>
      <c r="S84" s="8"/>
      <c r="T84" s="8"/>
      <c r="U84" s="8"/>
      <c r="V84" s="8"/>
      <c r="W84" s="8"/>
      <c r="X84" s="8"/>
      <c r="Y84" s="8"/>
      <c r="Z84" s="8"/>
      <c r="AA84" s="8"/>
      <c r="AB84" s="8"/>
      <c r="AC84" s="8"/>
    </row>
    <row r="85" ht="13.5" customHeight="1" spans="1:29" x14ac:dyDescent="0.25">
      <c r="A85" s="8"/>
      <c r="B85" s="8"/>
      <c r="C85" s="8" t="s">
        <v>298</v>
      </c>
      <c r="D85" s="8"/>
      <c r="E85" s="8"/>
      <c r="F85" s="8"/>
      <c r="G85" s="811">
        <f>Tax_Rate</f>
        <v>0.1776</v>
      </c>
      <c r="H85" s="8"/>
      <c r="I85" s="8" t="s">
        <v>26</v>
      </c>
      <c r="J85" s="810">
        <v>14</v>
      </c>
      <c r="K85" s="8"/>
      <c r="L85" s="8"/>
      <c r="M85" s="8"/>
      <c r="N85" s="8"/>
      <c r="O85" s="8"/>
      <c r="P85" s="8"/>
      <c r="Q85" s="8"/>
      <c r="R85" s="8"/>
      <c r="S85" s="8"/>
      <c r="T85" s="8"/>
      <c r="U85" s="8"/>
      <c r="V85" s="8"/>
      <c r="W85" s="8"/>
      <c r="X85" s="8"/>
      <c r="Y85" s="8"/>
      <c r="Z85" s="8"/>
      <c r="AA85" s="8"/>
      <c r="AB85" s="8"/>
      <c r="AC85" s="8"/>
    </row>
    <row r="86" ht="13.5" customHeight="1" spans="1:29" x14ac:dyDescent="0.25">
      <c r="A86" s="8"/>
      <c r="B86" s="8"/>
      <c r="C86" s="8" t="s">
        <v>906</v>
      </c>
      <c r="D86" s="8"/>
      <c r="E86" s="8"/>
      <c r="F86" s="8"/>
      <c r="G86" s="812">
        <v>0.0225</v>
      </c>
      <c r="H86" s="8"/>
      <c r="I86" s="8" t="s">
        <v>945</v>
      </c>
      <c r="J86" s="810">
        <f>J85+2.5</f>
        <v>16.5</v>
      </c>
      <c r="K86" s="8"/>
      <c r="L86" s="8"/>
      <c r="M86" s="8"/>
      <c r="N86" s="8"/>
      <c r="O86" s="8"/>
      <c r="P86" s="8"/>
      <c r="Q86" s="8"/>
      <c r="R86" s="8"/>
      <c r="S86" s="8"/>
      <c r="T86" s="8"/>
      <c r="U86" s="8"/>
      <c r="V86" s="8"/>
      <c r="W86" s="8"/>
      <c r="X86" s="8"/>
      <c r="Y86" s="8"/>
      <c r="Z86" s="8"/>
      <c r="AA86" s="8"/>
      <c r="AB86" s="8"/>
      <c r="AC86" s="8"/>
    </row>
    <row r="87" ht="13.5" customHeight="1" spans="1:29" x14ac:dyDescent="0.25">
      <c r="A87" s="8"/>
      <c r="B87" s="8"/>
      <c r="C87" s="8" t="s">
        <v>145</v>
      </c>
      <c r="D87" s="8"/>
      <c r="E87" s="8"/>
      <c r="F87" s="8"/>
      <c r="G87" s="810">
        <f>_xlfn.IFS(Case_Scenario="Base",Valuation!J85,Case_Scenario="Bull",Valuation!J86,Case_Scenario="Bear",Valuation!J84)</f>
        <v>14</v>
      </c>
      <c r="H87" s="8"/>
      <c r="I87" s="8"/>
      <c r="J87" s="810"/>
      <c r="K87" s="8"/>
      <c r="L87" s="8"/>
      <c r="M87" s="8"/>
      <c r="N87" s="8"/>
      <c r="O87" s="8"/>
      <c r="P87" s="8"/>
      <c r="Q87" s="8"/>
      <c r="R87" s="8"/>
      <c r="S87" s="8"/>
      <c r="T87" s="8"/>
      <c r="U87" s="8"/>
      <c r="V87" s="8"/>
      <c r="W87" s="8"/>
      <c r="X87" s="8"/>
      <c r="Y87" s="8"/>
      <c r="Z87" s="8"/>
      <c r="AA87" s="8"/>
      <c r="AB87" s="8"/>
      <c r="AC87" s="8"/>
    </row>
    <row r="88" ht="13.5" customHeight="1" spans="1:29"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row>
    <row r="89" ht="4.5" customHeight="1" spans="1:29"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ht="14.25" customHeight="1" spans="1:29" x14ac:dyDescent="0.25">
      <c r="A90" s="257" t="s">
        <v>3</v>
      </c>
      <c r="B90" s="8"/>
      <c r="C90" s="729" t="s">
        <v>946</v>
      </c>
      <c r="D90" s="14"/>
      <c r="E90" s="14"/>
      <c r="F90" s="14"/>
      <c r="G90" s="14"/>
      <c r="H90" s="14"/>
      <c r="I90" s="14"/>
      <c r="J90" s="14"/>
      <c r="K90" s="14"/>
      <c r="L90" s="14"/>
      <c r="M90" s="14"/>
      <c r="N90" s="14"/>
      <c r="O90" s="14"/>
      <c r="P90" s="14"/>
      <c r="Q90" s="14"/>
      <c r="R90" s="14"/>
      <c r="S90" s="15"/>
      <c r="T90" s="257" t="s">
        <v>3</v>
      </c>
      <c r="U90" s="8"/>
      <c r="V90" s="8"/>
      <c r="W90" s="8"/>
      <c r="X90" s="8"/>
      <c r="Y90" s="8"/>
      <c r="Z90" s="8"/>
      <c r="AA90" s="8"/>
      <c r="AB90" s="8"/>
      <c r="AC90" s="8"/>
    </row>
    <row r="91" ht="4.5" customHeight="1" spans="1:29"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ht="14.25" customHeight="1" spans="1:29" x14ac:dyDescent="0.25">
      <c r="A92" s="8"/>
      <c r="B92" s="8"/>
      <c r="C92" s="8" t="s">
        <v>947</v>
      </c>
      <c r="D92" s="8"/>
      <c r="E92" s="805">
        <f>G87</f>
        <v>14</v>
      </c>
      <c r="F92" s="696">
        <f>E92-H98</f>
        <v>0</v>
      </c>
      <c r="G92" s="8"/>
      <c r="H92" s="8" t="s">
        <v>948</v>
      </c>
      <c r="I92" s="8"/>
      <c r="J92" s="813">
        <f>G86</f>
        <v>0.0225</v>
      </c>
      <c r="K92" s="696">
        <f>J92-H106</f>
        <v>0</v>
      </c>
      <c r="L92" s="696"/>
      <c r="M92" s="8"/>
      <c r="N92" s="8" t="s">
        <v>949</v>
      </c>
      <c r="O92" s="8"/>
      <c r="P92" s="813" t="e">
        <f>G84</f>
        <v>#DIV/0!</v>
      </c>
      <c r="Q92" s="696" t="e">
        <f>P92-E101</f>
        <v>#DIV/0!</v>
      </c>
      <c r="R92" s="8"/>
      <c r="S92" s="8"/>
      <c r="T92" s="8"/>
      <c r="U92" s="8"/>
      <c r="V92" s="8"/>
      <c r="W92" s="8"/>
      <c r="X92" s="8"/>
      <c r="Y92" s="8"/>
      <c r="Z92" s="8"/>
      <c r="AA92" s="8"/>
      <c r="AB92" s="8"/>
      <c r="AC92" s="8"/>
    </row>
    <row r="93" ht="14.25" customHeight="1" spans="1:29" x14ac:dyDescent="0.25">
      <c r="A93" s="8"/>
      <c r="B93" s="8"/>
      <c r="C93" s="8" t="s">
        <v>950</v>
      </c>
      <c r="D93" s="8"/>
      <c r="E93" s="814">
        <v>1</v>
      </c>
      <c r="F93" s="8"/>
      <c r="G93" s="8"/>
      <c r="H93" s="8" t="s">
        <v>951</v>
      </c>
      <c r="I93" s="8"/>
      <c r="J93" s="815">
        <v>0.005</v>
      </c>
      <c r="K93" s="8"/>
      <c r="L93" s="8"/>
      <c r="M93" s="8"/>
      <c r="N93" s="8" t="s">
        <v>952</v>
      </c>
      <c r="O93" s="8"/>
      <c r="P93" s="815">
        <v>0.005</v>
      </c>
      <c r="Q93" s="8"/>
      <c r="R93" s="8"/>
      <c r="S93" s="8"/>
      <c r="T93" s="8"/>
      <c r="U93" s="8"/>
      <c r="V93" s="8"/>
      <c r="W93" s="8"/>
      <c r="X93" s="8"/>
      <c r="Y93" s="8"/>
      <c r="Z93" s="8"/>
      <c r="AA93" s="8"/>
      <c r="AB93" s="8"/>
      <c r="AC93" s="8"/>
    </row>
    <row r="94" ht="14.25" customHeight="1" spans="1:29" x14ac:dyDescent="0.25">
      <c r="A94" s="8"/>
      <c r="B94" s="8"/>
      <c r="C94" s="8"/>
      <c r="D94" s="8"/>
      <c r="E94" s="35"/>
      <c r="F94" s="8"/>
      <c r="G94" s="8"/>
      <c r="H94" s="8"/>
      <c r="I94" s="8"/>
      <c r="J94" s="8"/>
      <c r="K94" s="8"/>
      <c r="L94" s="8"/>
      <c r="M94" s="8"/>
      <c r="N94" s="8"/>
      <c r="O94" s="8"/>
      <c r="P94" s="8"/>
      <c r="Q94" s="8"/>
      <c r="R94" s="8"/>
      <c r="S94" s="8"/>
      <c r="T94" s="8"/>
      <c r="U94" s="8"/>
      <c r="V94" s="8"/>
      <c r="W94" s="8"/>
      <c r="X94" s="8"/>
      <c r="Y94" s="8"/>
      <c r="Z94" s="8"/>
      <c r="AA94" s="8"/>
      <c r="AB94" s="8"/>
      <c r="AC94" s="8"/>
    </row>
    <row r="95" ht="14.25" customHeight="1" spans="1:29" x14ac:dyDescent="0.25">
      <c r="A95" s="8"/>
      <c r="B95" s="8"/>
      <c r="C95" s="8"/>
      <c r="D95" s="816" t="s">
        <v>953</v>
      </c>
      <c r="E95" s="817"/>
      <c r="F95" s="817"/>
      <c r="G95" s="817"/>
      <c r="H95" s="817"/>
      <c r="I95" s="817"/>
      <c r="J95" s="817"/>
      <c r="K95" s="818"/>
      <c r="L95" s="818"/>
      <c r="M95" s="816" t="s">
        <v>954</v>
      </c>
      <c r="N95" s="817"/>
      <c r="O95" s="817"/>
      <c r="P95" s="817"/>
      <c r="Q95" s="817"/>
      <c r="R95" s="817"/>
      <c r="S95" s="817"/>
      <c r="T95" s="8"/>
      <c r="U95" s="8"/>
      <c r="V95" s="8"/>
      <c r="W95" s="8"/>
      <c r="X95" s="8"/>
      <c r="Y95" s="8"/>
      <c r="Z95" s="8"/>
      <c r="AA95" s="8"/>
      <c r="AB95" s="8"/>
      <c r="AC95" s="8"/>
    </row>
    <row r="96" ht="14.25" customHeight="1" spans="1:29" x14ac:dyDescent="0.25">
      <c r="A96" s="8"/>
      <c r="B96" s="8"/>
      <c r="C96" s="8"/>
      <c r="D96" s="40"/>
      <c r="E96" s="191"/>
      <c r="F96" s="75"/>
      <c r="G96" s="75"/>
      <c r="H96" s="75"/>
      <c r="I96" s="75"/>
      <c r="J96" s="75"/>
      <c r="K96" s="818"/>
      <c r="L96" s="818"/>
      <c r="M96" s="40"/>
      <c r="N96" s="191"/>
      <c r="O96" s="75"/>
      <c r="P96" s="75"/>
      <c r="Q96" s="75"/>
      <c r="R96" s="75"/>
      <c r="S96" s="75"/>
      <c r="T96" s="8"/>
      <c r="U96" s="8"/>
      <c r="V96" s="8"/>
      <c r="W96" s="8"/>
      <c r="X96" s="8"/>
      <c r="Y96" s="8"/>
      <c r="Z96" s="8"/>
      <c r="AA96" s="8"/>
      <c r="AB96" s="8"/>
      <c r="AC96" s="8"/>
    </row>
    <row r="97" ht="14.25" customHeight="1" spans="1:29" x14ac:dyDescent="0.25">
      <c r="A97" s="8"/>
      <c r="B97" s="8"/>
      <c r="C97" s="8"/>
      <c r="D97" s="618"/>
      <c r="E97" s="620"/>
      <c r="F97" s="620" t="s">
        <v>145</v>
      </c>
      <c r="G97" s="620"/>
      <c r="H97" s="620"/>
      <c r="I97" s="620"/>
      <c r="J97" s="620"/>
      <c r="K97" s="8"/>
      <c r="L97" s="8"/>
      <c r="M97" s="618"/>
      <c r="N97" s="620"/>
      <c r="O97" s="620" t="s">
        <v>145</v>
      </c>
      <c r="P97" s="697"/>
      <c r="Q97" s="697"/>
      <c r="R97" s="697"/>
      <c r="S97" s="697"/>
      <c r="T97" s="8"/>
      <c r="U97" s="8"/>
      <c r="V97" s="8"/>
      <c r="W97" s="8"/>
      <c r="X97" s="8"/>
      <c r="Y97" s="8"/>
      <c r="Z97" s="8"/>
      <c r="AA97" s="8"/>
      <c r="AB97" s="8"/>
      <c r="AC97" s="8"/>
    </row>
    <row r="98" ht="14.25" customHeight="1" spans="1:29" x14ac:dyDescent="0.25">
      <c r="A98" s="8"/>
      <c r="B98" s="8"/>
      <c r="C98" s="8"/>
      <c r="D98" s="8"/>
      <c r="E98" s="819">
        <f>K76</f>
        <v>245.8672844382982</v>
      </c>
      <c r="F98" s="820">
        <f>G98-$E$93</f>
        <v>12</v>
      </c>
      <c r="G98" s="820">
        <f>H98-$E$93</f>
        <v>13</v>
      </c>
      <c r="H98" s="821">
        <f>G87</f>
        <v>14</v>
      </c>
      <c r="I98" s="820">
        <f>H98+$E$93</f>
        <v>15</v>
      </c>
      <c r="J98" s="820">
        <f>I98+$E$93</f>
        <v>16</v>
      </c>
      <c r="K98" s="8"/>
      <c r="L98" s="8"/>
      <c r="M98" s="8"/>
      <c r="N98" s="822">
        <f>$H$73</f>
        <v>0</v>
      </c>
      <c r="O98" s="820">
        <f>F98</f>
        <v>12</v>
      </c>
      <c r="P98" s="820">
        <f>G98</f>
        <v>13</v>
      </c>
      <c r="Q98" s="820">
        <f>H98</f>
        <v>14</v>
      </c>
      <c r="R98" s="820">
        <f>I98</f>
        <v>15</v>
      </c>
      <c r="S98" s="820">
        <f>J98</f>
        <v>16</v>
      </c>
      <c r="T98" s="8"/>
      <c r="U98" s="8"/>
      <c r="V98" s="8"/>
      <c r="W98" s="8"/>
      <c r="X98" s="8"/>
      <c r="Y98" s="8"/>
      <c r="Z98" s="8"/>
      <c r="AA98" s="8"/>
      <c r="AB98" s="8"/>
      <c r="AC98" s="8"/>
    </row>
    <row r="99" ht="14.25" customHeight="1" spans="1:29" x14ac:dyDescent="0.25">
      <c r="A99" s="8"/>
      <c r="B99" s="8"/>
      <c r="C99" s="8"/>
      <c r="D99" s="702" t="s">
        <v>44</v>
      </c>
      <c r="E99" s="823" t="e">
        <f>E100-$P$93</f>
        <v>#DIV/0!</v>
      </c>
      <c r="F99" s="824">
        <f t="shared" ref="F99:J103" si="3">((F$98*$K$59)*(1/((1+$E99)^$S$51))+$K$63+SUM($K$66:$K$71))/$K$74</f>
        <v>218.50671261190183</v>
      </c>
      <c r="G99" s="825">
        <f t="shared" si="3"/>
        <v>236.5545212765584</v>
      </c>
      <c r="H99" s="825">
        <f t="shared" si="3"/>
        <v>254.60232994121506</v>
      </c>
      <c r="I99" s="825">
        <f t="shared" si="3"/>
        <v>272.65013860587163</v>
      </c>
      <c r="J99" s="826">
        <f t="shared" si="3"/>
        <v>290.6979472705283</v>
      </c>
      <c r="K99" s="8"/>
      <c r="L99" s="8"/>
      <c r="M99" s="702" t="s">
        <v>44</v>
      </c>
      <c r="N99" s="823" t="e">
        <f>E99</f>
        <v>#DIV/0!</v>
      </c>
      <c r="O99" s="827">
        <f t="shared" ref="O99:S103" si="4">F99/Share_Price-1</f>
        <v>0.057887739588001974</v>
      </c>
      <c r="P99" s="690">
        <f t="shared" si="4"/>
        <v>0.1452651719997986</v>
      </c>
      <c r="Q99" s="690">
        <f t="shared" si="4"/>
        <v>0.23264260441159546</v>
      </c>
      <c r="R99" s="690">
        <f t="shared" si="4"/>
        <v>0.3200200368233921</v>
      </c>
      <c r="S99" s="828">
        <f t="shared" si="4"/>
        <v>0.40739746923518894</v>
      </c>
      <c r="T99" s="8"/>
      <c r="U99" s="8"/>
      <c r="V99" s="8"/>
      <c r="W99" s="8"/>
      <c r="X99" s="8"/>
      <c r="Y99" s="8"/>
      <c r="Z99" s="8"/>
      <c r="AA99" s="8"/>
      <c r="AB99" s="8"/>
      <c r="AC99" s="8"/>
    </row>
    <row r="100" ht="14.25" customHeight="1" spans="1:29" x14ac:dyDescent="0.25">
      <c r="A100" s="8"/>
      <c r="B100" s="8"/>
      <c r="C100" s="8"/>
      <c r="D100" s="829"/>
      <c r="E100" s="823" t="e">
        <f>E101-$P$93</f>
        <v>#DIV/0!</v>
      </c>
      <c r="F100" s="830">
        <f t="shared" si="3"/>
        <v>214.72131640702472</v>
      </c>
      <c r="G100" s="831">
        <f t="shared" si="3"/>
        <v>232.45367538794156</v>
      </c>
      <c r="H100" s="831">
        <f t="shared" si="3"/>
        <v>250.1860343688584</v>
      </c>
      <c r="I100" s="831">
        <f t="shared" si="3"/>
        <v>267.9183933497753</v>
      </c>
      <c r="J100" s="832">
        <f t="shared" si="3"/>
        <v>285.6507523306921</v>
      </c>
      <c r="K100" s="8"/>
      <c r="L100" s="8"/>
      <c r="M100" s="707"/>
      <c r="N100" s="823" t="e">
        <f>E100</f>
        <v>#DIV/0!</v>
      </c>
      <c r="O100" s="833">
        <f t="shared" si="4"/>
        <v>0.03956096057625125</v>
      </c>
      <c r="P100" s="576">
        <f t="shared" si="4"/>
        <v>0.12541116140373543</v>
      </c>
      <c r="Q100" s="576">
        <f t="shared" si="4"/>
        <v>0.2112613622312196</v>
      </c>
      <c r="R100" s="576">
        <f t="shared" si="4"/>
        <v>0.2971115630587038</v>
      </c>
      <c r="S100" s="703">
        <f t="shared" si="4"/>
        <v>0.38296176388618774</v>
      </c>
      <c r="T100" s="8"/>
      <c r="U100" s="8"/>
      <c r="V100" s="8"/>
      <c r="W100" s="8"/>
      <c r="X100" s="8"/>
      <c r="Y100" s="8"/>
      <c r="Z100" s="8"/>
      <c r="AA100" s="8"/>
      <c r="AB100" s="8"/>
      <c r="AC100" s="8"/>
    </row>
    <row r="101" ht="14.25" customHeight="1" spans="1:29" x14ac:dyDescent="0.25">
      <c r="A101" s="8"/>
      <c r="B101" s="8"/>
      <c r="C101" s="8"/>
      <c r="D101" s="829"/>
      <c r="E101" s="834" t="e">
        <f>G84</f>
        <v>#DIV/0!</v>
      </c>
      <c r="F101" s="835">
        <f t="shared" si="3"/>
        <v>211.01953075225885</v>
      </c>
      <c r="G101" s="831">
        <f t="shared" si="3"/>
        <v>228.4434075952785</v>
      </c>
      <c r="H101" s="831">
        <f t="shared" si="3"/>
        <v>245.86728443829819</v>
      </c>
      <c r="I101" s="831">
        <f t="shared" si="3"/>
        <v>263.29116128131784</v>
      </c>
      <c r="J101" s="832">
        <f t="shared" si="3"/>
        <v>280.7150381243376</v>
      </c>
      <c r="K101" s="8"/>
      <c r="L101" s="8"/>
      <c r="M101" s="707"/>
      <c r="N101" s="823" t="e">
        <f>E101</f>
        <v>#DIV/0!</v>
      </c>
      <c r="O101" s="833">
        <f t="shared" si="4"/>
        <v>0.021638977256155156</v>
      </c>
      <c r="P101" s="576">
        <f t="shared" si="4"/>
        <v>0.10599567947363098</v>
      </c>
      <c r="Q101" s="576">
        <f t="shared" si="4"/>
        <v>0.19035238169110702</v>
      </c>
      <c r="R101" s="576">
        <f t="shared" si="4"/>
        <v>0.27470908390858306</v>
      </c>
      <c r="S101" s="703">
        <f t="shared" si="4"/>
        <v>0.3590657861260593</v>
      </c>
      <c r="T101" s="8"/>
      <c r="U101" s="8"/>
      <c r="V101" s="8"/>
      <c r="W101" s="8"/>
      <c r="X101" s="8"/>
      <c r="Y101" s="8"/>
      <c r="Z101" s="8"/>
      <c r="AA101" s="8"/>
      <c r="AB101" s="8"/>
      <c r="AC101" s="8"/>
    </row>
    <row r="102" ht="14.25" customHeight="1" spans="1:29" x14ac:dyDescent="0.25">
      <c r="A102" s="8"/>
      <c r="B102" s="8"/>
      <c r="C102" s="8"/>
      <c r="D102" s="829"/>
      <c r="E102" s="823" t="e">
        <f>E101+$P$93</f>
        <v>#DIV/0!</v>
      </c>
      <c r="F102" s="830">
        <f t="shared" si="3"/>
        <v>207.39912711899174</v>
      </c>
      <c r="G102" s="831">
        <f t="shared" si="3"/>
        <v>224.52130365923915</v>
      </c>
      <c r="H102" s="831">
        <f t="shared" si="3"/>
        <v>241.64348019948656</v>
      </c>
      <c r="I102" s="831">
        <f t="shared" si="3"/>
        <v>258.76565673973397</v>
      </c>
      <c r="J102" s="832">
        <f t="shared" si="3"/>
        <v>275.8878332799814</v>
      </c>
      <c r="K102" s="8"/>
      <c r="L102" s="8"/>
      <c r="M102" s="707"/>
      <c r="N102" s="823" t="e">
        <f>E102</f>
        <v>#DIV/0!</v>
      </c>
      <c r="O102" s="833">
        <f t="shared" si="4"/>
        <v>0.0041110003340194545</v>
      </c>
      <c r="P102" s="576">
        <f t="shared" si="4"/>
        <v>0.08700703780798413</v>
      </c>
      <c r="Q102" s="576">
        <f t="shared" si="4"/>
        <v>0.1699030752819488</v>
      </c>
      <c r="R102" s="576">
        <f t="shared" si="4"/>
        <v>0.2527991127559137</v>
      </c>
      <c r="S102" s="703">
        <f t="shared" si="4"/>
        <v>0.3356951502298784</v>
      </c>
      <c r="T102" s="8"/>
      <c r="U102" s="8"/>
      <c r="V102" s="8"/>
      <c r="W102" s="8"/>
      <c r="X102" s="8"/>
      <c r="Y102" s="8"/>
      <c r="Z102" s="8"/>
      <c r="AA102" s="8"/>
      <c r="AB102" s="8"/>
      <c r="AC102" s="8"/>
    </row>
    <row r="103" ht="14.25" customHeight="1" spans="1:29" x14ac:dyDescent="0.25">
      <c r="A103" s="8"/>
      <c r="B103" s="8"/>
      <c r="C103" s="8"/>
      <c r="D103" s="836"/>
      <c r="E103" s="823" t="e">
        <f>E102+$P$93</f>
        <v>#DIV/0!</v>
      </c>
      <c r="F103" s="837">
        <f t="shared" si="3"/>
        <v>203.85794645790926</v>
      </c>
      <c r="G103" s="838">
        <f t="shared" si="3"/>
        <v>220.68502460973315</v>
      </c>
      <c r="H103" s="838">
        <f t="shared" si="3"/>
        <v>237.51210276155706</v>
      </c>
      <c r="I103" s="838">
        <f t="shared" si="3"/>
        <v>254.3391809133809</v>
      </c>
      <c r="J103" s="839">
        <f t="shared" si="3"/>
        <v>271.16625906520477</v>
      </c>
      <c r="K103" s="8"/>
      <c r="L103" s="8"/>
      <c r="M103" s="712"/>
      <c r="N103" s="823" t="e">
        <f>E103</f>
        <v>#DIV/0!</v>
      </c>
      <c r="O103" s="840">
        <f t="shared" si="4"/>
        <v>-0.013033423103804176</v>
      </c>
      <c r="P103" s="699">
        <f t="shared" si="4"/>
        <v>0.06843391241700858</v>
      </c>
      <c r="Q103" s="699">
        <f t="shared" si="4"/>
        <v>0.14990124793782167</v>
      </c>
      <c r="R103" s="699">
        <f t="shared" si="4"/>
        <v>0.2313685834586341</v>
      </c>
      <c r="S103" s="841">
        <f t="shared" si="4"/>
        <v>0.31283591897944696</v>
      </c>
      <c r="T103" s="8"/>
      <c r="U103" s="8"/>
      <c r="V103" s="8"/>
      <c r="W103" s="8"/>
      <c r="X103" s="8"/>
      <c r="Y103" s="8"/>
      <c r="Z103" s="8"/>
      <c r="AA103" s="8"/>
      <c r="AB103" s="8"/>
      <c r="AC103" s="8"/>
    </row>
    <row r="104" ht="14.25" customHeight="1" spans="1:29" x14ac:dyDescent="0.25">
      <c r="A104" s="8"/>
      <c r="B104" s="8"/>
      <c r="C104" s="8"/>
      <c r="D104" s="8"/>
      <c r="E104" s="8"/>
      <c r="F104" s="8"/>
      <c r="G104" s="8"/>
      <c r="H104" s="8"/>
      <c r="I104" s="8"/>
      <c r="J104" s="8"/>
      <c r="K104" s="8"/>
      <c r="L104" s="8"/>
      <c r="M104" s="8"/>
      <c r="N104" s="8"/>
      <c r="O104" s="75"/>
      <c r="P104" s="75"/>
      <c r="Q104" s="75"/>
      <c r="R104" s="75"/>
      <c r="S104" s="75"/>
      <c r="T104" s="8"/>
      <c r="U104" s="8"/>
      <c r="V104" s="8"/>
      <c r="W104" s="8"/>
      <c r="X104" s="8"/>
      <c r="Y104" s="8"/>
      <c r="Z104" s="8"/>
      <c r="AA104" s="8"/>
      <c r="AB104" s="8"/>
      <c r="AC104" s="8"/>
    </row>
    <row r="105" ht="14.25" customHeight="1" spans="1:29" x14ac:dyDescent="0.25">
      <c r="A105" s="8"/>
      <c r="B105" s="8"/>
      <c r="C105" s="8"/>
      <c r="D105" s="618"/>
      <c r="E105" s="620"/>
      <c r="F105" s="620" t="s">
        <v>955</v>
      </c>
      <c r="G105" s="697"/>
      <c r="H105" s="697"/>
      <c r="I105" s="697"/>
      <c r="J105" s="697"/>
      <c r="K105" s="8"/>
      <c r="L105" s="8"/>
      <c r="M105" s="618"/>
      <c r="N105" s="620"/>
      <c r="O105" s="620" t="s">
        <v>955</v>
      </c>
      <c r="P105" s="697"/>
      <c r="Q105" s="697"/>
      <c r="R105" s="697"/>
      <c r="S105" s="697"/>
      <c r="T105" s="8"/>
      <c r="U105" s="8"/>
      <c r="V105" s="8"/>
      <c r="W105" s="8"/>
      <c r="X105" s="8"/>
      <c r="Y105" s="8"/>
      <c r="Z105" s="8"/>
      <c r="AA105" s="8"/>
      <c r="AB105" s="8"/>
      <c r="AC105" s="8"/>
    </row>
    <row r="106" ht="14.25" customHeight="1" spans="1:29" x14ac:dyDescent="0.25">
      <c r="A106" s="8"/>
      <c r="B106" s="8"/>
      <c r="C106" s="8"/>
      <c r="D106" s="8"/>
      <c r="E106" s="819">
        <f>$S$76</f>
        <v>266.5221615463226</v>
      </c>
      <c r="F106" s="699">
        <f>G106-$J$93</f>
        <v>0.012499999999999997</v>
      </c>
      <c r="G106" s="699">
        <f>H106-$J$93</f>
        <v>0.017499999999999998</v>
      </c>
      <c r="H106" s="842">
        <f>J92</f>
        <v>0.0225</v>
      </c>
      <c r="I106" s="699">
        <f>H106+$J$93</f>
        <v>0.0275</v>
      </c>
      <c r="J106" s="699">
        <f>I106+$J$93</f>
        <v>0.0325</v>
      </c>
      <c r="K106" s="8"/>
      <c r="L106" s="8"/>
      <c r="M106" s="8"/>
      <c r="N106" s="822">
        <f>$P$73</f>
        <v>0</v>
      </c>
      <c r="O106" s="699">
        <f>F106</f>
        <v>0.012499999999999997</v>
      </c>
      <c r="P106" s="699">
        <f>G106</f>
        <v>0.017499999999999998</v>
      </c>
      <c r="Q106" s="699">
        <f>H106</f>
        <v>0.0225</v>
      </c>
      <c r="R106" s="699">
        <f>I106</f>
        <v>0.0275</v>
      </c>
      <c r="S106" s="699">
        <f>J106</f>
        <v>0.0325</v>
      </c>
      <c r="T106" s="8"/>
      <c r="U106" s="8"/>
      <c r="V106" s="8"/>
      <c r="W106" s="8"/>
      <c r="X106" s="8"/>
      <c r="Y106" s="8"/>
      <c r="Z106" s="8"/>
      <c r="AA106" s="8"/>
      <c r="AB106" s="8"/>
      <c r="AC106" s="8"/>
    </row>
    <row r="107" ht="14.25" customHeight="1" spans="1:29" x14ac:dyDescent="0.25">
      <c r="A107" s="8"/>
      <c r="B107" s="8"/>
      <c r="C107" s="8"/>
      <c r="D107" s="702" t="s">
        <v>44</v>
      </c>
      <c r="E107" s="823" t="e">
        <f>E99</f>
        <v>#DIV/0!</v>
      </c>
      <c r="F107" s="824">
        <f t="shared" ref="F107:J111" si="5">((($S$59*(1+F$106))/($E107-F$106))*(1/((1+$E107)^$S$51))+$S$63+SUM($S$66:$S$71))/$K$74</f>
        <v>273.316506951813</v>
      </c>
      <c r="G107" s="825">
        <f t="shared" si="5"/>
        <v>317.9084530833352</v>
      </c>
      <c r="H107" s="835">
        <f t="shared" si="5"/>
        <v>379.3101368605319</v>
      </c>
      <c r="I107" s="825">
        <f t="shared" si="5"/>
        <v>469.23432845157777</v>
      </c>
      <c r="J107" s="826">
        <f t="shared" si="5"/>
        <v>613.5675159802518</v>
      </c>
      <c r="K107" s="8"/>
      <c r="L107" s="8"/>
      <c r="M107" s="702" t="s">
        <v>44</v>
      </c>
      <c r="N107" s="823" t="e">
        <f>E107</f>
        <v>#DIV/0!</v>
      </c>
      <c r="O107" s="827">
        <f t="shared" ref="O107:S111" si="6">F107/Share_Price-1</f>
        <v>0.3232462210206388</v>
      </c>
      <c r="P107" s="690">
        <f t="shared" si="6"/>
        <v>0.5391355753247891</v>
      </c>
      <c r="Q107" s="690">
        <f t="shared" si="6"/>
        <v>0.8364083120819747</v>
      </c>
      <c r="R107" s="690">
        <f t="shared" si="6"/>
        <v>1.2717711375046128</v>
      </c>
      <c r="S107" s="828">
        <f t="shared" si="6"/>
        <v>1.970552001840967</v>
      </c>
      <c r="T107" s="8"/>
      <c r="U107" s="8"/>
      <c r="V107" s="8"/>
      <c r="W107" s="8"/>
      <c r="X107" s="8"/>
      <c r="Y107" s="8"/>
      <c r="Z107" s="8"/>
      <c r="AA107" s="8"/>
      <c r="AB107" s="8"/>
      <c r="AC107" s="8"/>
    </row>
    <row r="108" ht="14.25" customHeight="1" spans="1:29" x14ac:dyDescent="0.25">
      <c r="A108" s="8"/>
      <c r="B108" s="8"/>
      <c r="C108" s="8"/>
      <c r="D108" s="707"/>
      <c r="E108" s="823" t="e">
        <f>E100</f>
        <v>#DIV/0!</v>
      </c>
      <c r="F108" s="830">
        <f t="shared" si="5"/>
        <v>236.46903505583174</v>
      </c>
      <c r="G108" s="831">
        <f t="shared" si="5"/>
        <v>269.8898558011553</v>
      </c>
      <c r="H108" s="831">
        <f t="shared" si="5"/>
        <v>313.9112235626685</v>
      </c>
      <c r="I108" s="831">
        <f t="shared" si="5"/>
        <v>374.52723917140116</v>
      </c>
      <c r="J108" s="832">
        <f t="shared" si="5"/>
        <v>463.3008014871276</v>
      </c>
      <c r="K108" s="8"/>
      <c r="L108" s="8"/>
      <c r="M108" s="707"/>
      <c r="N108" s="823" t="e">
        <f>E108</f>
        <v>#DIV/0!</v>
      </c>
      <c r="O108" s="833">
        <f t="shared" si="6"/>
        <v>0.14485129535624175</v>
      </c>
      <c r="P108" s="576">
        <f t="shared" si="6"/>
        <v>0.30665628565071557</v>
      </c>
      <c r="Q108" s="576">
        <f t="shared" si="6"/>
        <v>0.5197832174421133</v>
      </c>
      <c r="R108" s="576">
        <f t="shared" si="6"/>
        <v>0.8132521867412303</v>
      </c>
      <c r="S108" s="703">
        <f t="shared" si="6"/>
        <v>1.2430443064010048</v>
      </c>
      <c r="T108" s="8"/>
      <c r="U108" s="8"/>
      <c r="V108" s="8"/>
      <c r="W108" s="8"/>
      <c r="X108" s="8"/>
      <c r="Y108" s="8"/>
      <c r="Z108" s="8"/>
      <c r="AA108" s="8"/>
      <c r="AB108" s="8"/>
      <c r="AC108" s="8"/>
    </row>
    <row r="109" ht="14.25" customHeight="1" spans="1:29" x14ac:dyDescent="0.25">
      <c r="A109" s="8"/>
      <c r="B109" s="8"/>
      <c r="C109" s="8"/>
      <c r="D109" s="707"/>
      <c r="E109" s="843" t="e">
        <f>G84</f>
        <v>#DIV/0!</v>
      </c>
      <c r="F109" s="830">
        <f t="shared" si="5"/>
        <v>207.62332819486357</v>
      </c>
      <c r="G109" s="831">
        <f t="shared" si="5"/>
        <v>233.52696764983884</v>
      </c>
      <c r="H109" s="831">
        <f t="shared" si="5"/>
        <v>266.52216154632254</v>
      </c>
      <c r="I109" s="831">
        <f t="shared" si="5"/>
        <v>309.9829004655724</v>
      </c>
      <c r="J109" s="832">
        <f t="shared" si="5"/>
        <v>369.8269480873615</v>
      </c>
      <c r="K109" s="8"/>
      <c r="L109" s="8"/>
      <c r="M109" s="707"/>
      <c r="N109" s="823" t="e">
        <f>E109</f>
        <v>#DIV/0!</v>
      </c>
      <c r="O109" s="833">
        <f t="shared" si="6"/>
        <v>0.005196457007327737</v>
      </c>
      <c r="P109" s="576">
        <f t="shared" si="6"/>
        <v>0.13060744444366423</v>
      </c>
      <c r="Q109" s="576">
        <f t="shared" si="6"/>
        <v>0.2903517867166425</v>
      </c>
      <c r="R109" s="576">
        <f t="shared" si="6"/>
        <v>0.5007644660642576</v>
      </c>
      <c r="S109" s="703">
        <f t="shared" si="6"/>
        <v>0.7904959965498013</v>
      </c>
      <c r="T109" s="8"/>
      <c r="U109" s="8"/>
      <c r="V109" s="8"/>
      <c r="W109" s="8"/>
      <c r="X109" s="8"/>
      <c r="Y109" s="8"/>
      <c r="Z109" s="8"/>
      <c r="AA109" s="8"/>
      <c r="AB109" s="8"/>
      <c r="AC109" s="8"/>
    </row>
    <row r="110" ht="14.25" customHeight="1" spans="1:29" x14ac:dyDescent="0.25">
      <c r="A110" s="8"/>
      <c r="B110" s="8"/>
      <c r="C110" s="8"/>
      <c r="D110" s="707"/>
      <c r="E110" s="823" t="e">
        <f>E102</f>
        <v>#DIV/0!</v>
      </c>
      <c r="F110" s="830">
        <f t="shared" si="5"/>
        <v>184.448037137439</v>
      </c>
      <c r="G110" s="831">
        <f t="shared" si="5"/>
        <v>205.05989748402422</v>
      </c>
      <c r="H110" s="831">
        <f t="shared" si="5"/>
        <v>230.63518822374994</v>
      </c>
      <c r="I110" s="831">
        <f t="shared" si="5"/>
        <v>263.2121424537903</v>
      </c>
      <c r="J110" s="832">
        <f t="shared" si="5"/>
        <v>306.12198280866136</v>
      </c>
      <c r="K110" s="8"/>
      <c r="L110" s="8"/>
      <c r="M110" s="707"/>
      <c r="N110" s="823" t="e">
        <f>E110</f>
        <v>#DIV/0!</v>
      </c>
      <c r="O110" s="833">
        <f t="shared" si="6"/>
        <v>-0.10700538786037772</v>
      </c>
      <c r="P110" s="576">
        <f t="shared" si="6"/>
        <v>-0.007214246022637538</v>
      </c>
      <c r="Q110" s="576">
        <f t="shared" si="6"/>
        <v>0.11660705990680187</v>
      </c>
      <c r="R110" s="576">
        <f t="shared" si="6"/>
        <v>0.2743265187789412</v>
      </c>
      <c r="S110" s="703">
        <f t="shared" si="6"/>
        <v>0.4820720542660921</v>
      </c>
      <c r="T110" s="8"/>
      <c r="U110" s="8"/>
      <c r="V110" s="8"/>
      <c r="W110" s="8"/>
      <c r="X110" s="8"/>
      <c r="Y110" s="8"/>
      <c r="Z110" s="8"/>
      <c r="AA110" s="8"/>
      <c r="AB110" s="8"/>
      <c r="AC110" s="8"/>
    </row>
    <row r="111" ht="14.25" customHeight="1" spans="1:29" x14ac:dyDescent="0.25">
      <c r="A111" s="8"/>
      <c r="B111" s="8"/>
      <c r="C111" s="8"/>
      <c r="D111" s="712"/>
      <c r="E111" s="823" t="e">
        <f>E103</f>
        <v>#DIV/0!</v>
      </c>
      <c r="F111" s="837">
        <f t="shared" si="5"/>
        <v>165.43672453971456</v>
      </c>
      <c r="G111" s="838">
        <f t="shared" si="5"/>
        <v>182.18819024489676</v>
      </c>
      <c r="H111" s="838">
        <f t="shared" si="5"/>
        <v>202.53999639347958</v>
      </c>
      <c r="I111" s="838">
        <f t="shared" si="5"/>
        <v>227.7926106930316</v>
      </c>
      <c r="J111" s="839">
        <f t="shared" si="5"/>
        <v>259.9585504118536</v>
      </c>
      <c r="K111" s="8"/>
      <c r="L111" s="8"/>
      <c r="M111" s="712"/>
      <c r="N111" s="823" t="e">
        <f>E111</f>
        <v>#DIV/0!</v>
      </c>
      <c r="O111" s="840">
        <f t="shared" si="6"/>
        <v>-0.1990475694034638</v>
      </c>
      <c r="P111" s="699">
        <f t="shared" si="6"/>
        <v>-0.11794630721424959</v>
      </c>
      <c r="Q111" s="699">
        <f t="shared" si="6"/>
        <v>-0.01941420288801954</v>
      </c>
      <c r="R111" s="699">
        <f t="shared" si="6"/>
        <v>0.10284488352956478</v>
      </c>
      <c r="S111" s="841">
        <f t="shared" si="6"/>
        <v>0.2585744391762459</v>
      </c>
      <c r="T111" s="8"/>
      <c r="U111" s="8"/>
      <c r="V111" s="8"/>
      <c r="W111" s="8"/>
      <c r="X111" s="8"/>
      <c r="Y111" s="8"/>
      <c r="Z111" s="8"/>
      <c r="AA111" s="8"/>
      <c r="AB111" s="8"/>
      <c r="AC111" s="8"/>
    </row>
    <row r="112" ht="4.5" customHeight="1" spans="1:29" x14ac:dyDescent="0.25">
      <c r="A112" s="8"/>
      <c r="B112" s="8"/>
      <c r="C112" s="8"/>
      <c r="D112" s="8"/>
      <c r="E112" s="8"/>
      <c r="F112" s="8"/>
      <c r="G112" s="8"/>
      <c r="H112" s="8"/>
      <c r="I112" s="8"/>
      <c r="J112" s="8"/>
      <c r="K112" s="8"/>
      <c r="L112" s="8"/>
      <c r="M112" s="8"/>
      <c r="N112" s="8"/>
      <c r="O112" s="75"/>
      <c r="P112" s="75"/>
      <c r="Q112" s="75"/>
      <c r="R112" s="75"/>
      <c r="S112" s="75"/>
      <c r="T112" s="8"/>
      <c r="U112" s="8"/>
      <c r="V112" s="8"/>
      <c r="W112" s="8"/>
      <c r="X112" s="8"/>
      <c r="Y112" s="8"/>
      <c r="Z112" s="8"/>
      <c r="AA112" s="8"/>
      <c r="AB112" s="8"/>
      <c r="AC112" s="8"/>
    </row>
    <row r="113" ht="13.5" customHeight="1" spans="1:29" x14ac:dyDescent="0.25">
      <c r="A113" s="8"/>
      <c r="B113" s="8"/>
      <c r="C113" s="8"/>
      <c r="D113" s="8"/>
      <c r="E113" s="8"/>
      <c r="F113" s="8"/>
      <c r="G113" s="8"/>
      <c r="H113" s="8"/>
      <c r="I113" s="8"/>
      <c r="J113" s="8"/>
      <c r="K113" s="8"/>
      <c r="L113" s="8"/>
      <c r="M113" s="8"/>
      <c r="N113" s="8"/>
      <c r="O113" s="75"/>
      <c r="P113" s="75"/>
      <c r="Q113" s="75"/>
      <c r="R113" s="75"/>
      <c r="S113" s="75"/>
      <c r="T113" s="8"/>
      <c r="U113" s="8"/>
      <c r="V113" s="8"/>
      <c r="W113" s="8"/>
      <c r="X113" s="8"/>
      <c r="Y113" s="8"/>
      <c r="Z113" s="8"/>
      <c r="AA113" s="8"/>
      <c r="AB113" s="8"/>
      <c r="AC113" s="8"/>
    </row>
    <row r="114" ht="13.5" customHeight="1" spans="1:29" x14ac:dyDescent="0.25">
      <c r="A114" s="257" t="s">
        <v>3</v>
      </c>
      <c r="B114" s="8"/>
      <c r="C114" s="102" t="s">
        <v>956</v>
      </c>
      <c r="D114" s="103"/>
      <c r="E114" s="103"/>
      <c r="F114" s="103"/>
      <c r="G114" s="103"/>
      <c r="H114" s="103"/>
      <c r="I114" s="103"/>
      <c r="J114" s="103"/>
      <c r="K114" s="103"/>
      <c r="L114" s="103"/>
      <c r="M114" s="103"/>
      <c r="N114" s="103"/>
      <c r="O114" s="103"/>
      <c r="P114" s="103"/>
      <c r="Q114" s="103"/>
      <c r="R114" s="103"/>
      <c r="S114" s="103"/>
      <c r="T114" s="257" t="s">
        <v>3</v>
      </c>
      <c r="U114" s="8"/>
      <c r="V114" s="8"/>
      <c r="W114" s="8"/>
      <c r="X114" s="8"/>
      <c r="Y114" s="8"/>
      <c r="Z114" s="8"/>
      <c r="AA114" s="8"/>
      <c r="AB114" s="8"/>
      <c r="AC114" s="8"/>
    </row>
    <row r="115" ht="4.5" customHeight="1" spans="1:29"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ht="13.5" customHeight="1" spans="1:29" x14ac:dyDescent="0.25">
      <c r="A116" s="8"/>
      <c r="B116" s="8"/>
      <c r="C116" s="8"/>
      <c r="D116" s="83" t="s">
        <v>957</v>
      </c>
      <c r="E116" s="14"/>
      <c r="F116" s="15"/>
      <c r="G116" s="8"/>
      <c r="H116" s="83" t="s">
        <v>958</v>
      </c>
      <c r="I116" s="14"/>
      <c r="J116" s="15"/>
      <c r="K116" s="8"/>
      <c r="L116" s="8"/>
      <c r="M116" s="83" t="s">
        <v>137</v>
      </c>
      <c r="N116" s="14"/>
      <c r="O116" s="15"/>
      <c r="P116" s="181"/>
      <c r="Q116" s="83" t="s">
        <v>959</v>
      </c>
      <c r="R116" s="14"/>
      <c r="S116" s="15"/>
      <c r="T116" s="8"/>
      <c r="U116" s="8"/>
      <c r="V116" s="8"/>
      <c r="W116" s="8"/>
      <c r="X116" s="8"/>
      <c r="Y116" s="8"/>
      <c r="Z116" s="8"/>
      <c r="AA116" s="8"/>
      <c r="AB116" s="8"/>
      <c r="AC116" s="8"/>
    </row>
    <row r="117" ht="4.5" customHeight="1" spans="1:29" x14ac:dyDescent="0.25">
      <c r="A117" s="8"/>
      <c r="B117" s="8"/>
      <c r="C117" s="8"/>
      <c r="D117" s="182"/>
      <c r="E117" s="123"/>
      <c r="F117" s="276"/>
      <c r="G117" s="8"/>
      <c r="H117" s="182"/>
      <c r="I117" s="123"/>
      <c r="J117" s="276"/>
      <c r="K117" s="8"/>
      <c r="L117" s="8"/>
      <c r="M117" s="182"/>
      <c r="N117" s="123"/>
      <c r="O117" s="276"/>
      <c r="P117" s="181"/>
      <c r="Q117" s="182"/>
      <c r="R117" s="123"/>
      <c r="S117" s="276"/>
      <c r="T117" s="8"/>
      <c r="U117" s="8"/>
      <c r="V117" s="8"/>
      <c r="W117" s="8"/>
      <c r="X117" s="8"/>
      <c r="Y117" s="8"/>
      <c r="Z117" s="8"/>
      <c r="AA117" s="8"/>
      <c r="AB117" s="8"/>
      <c r="AC117" s="8"/>
    </row>
    <row r="118" ht="13.5" customHeight="1" spans="1:29" x14ac:dyDescent="0.25">
      <c r="A118" s="8"/>
      <c r="B118" s="8"/>
      <c r="C118" s="8"/>
      <c r="D118" s="180" t="s">
        <v>960</v>
      </c>
      <c r="E118" s="8"/>
      <c r="F118" s="844">
        <f>$D$11</f>
        <v>29.9280446457396</v>
      </c>
      <c r="G118" s="845"/>
      <c r="H118" s="180" t="s">
        <v>961</v>
      </c>
      <c r="I118" s="8"/>
      <c r="J118" s="844">
        <f>IF(G144="LTM",IF(G143="1 Year",'Multiples Data'!E9,IF(G143="2 Year", 'Multiples Data'!E10,IF(G143="3 Year",'Multiples Data'!E11, IF(G143="5 Year", 'Multiples Data'!E12,"N/A")))),IF(G144="NTM", IF(G143="1 Year",'Multiples Data'!F9,IF(G143="2 Year", 'Multiples Data'!F10,IF(G143="3 Year",'Multiples Data'!F11, IF(G143="5 Year", 'Multiples Data'!F12,"N/A"))))))</f>
        <v>30.165016844253433</v>
      </c>
      <c r="K118" s="8"/>
      <c r="L118" s="8"/>
      <c r="M118" s="180" t="s">
        <v>960</v>
      </c>
      <c r="N118" s="8"/>
      <c r="O118" s="844">
        <f>$D$12</f>
        <v>14.5160559134403</v>
      </c>
      <c r="P118" s="181"/>
      <c r="Q118" s="180" t="s">
        <v>961</v>
      </c>
      <c r="R118" s="8"/>
      <c r="S118" s="844">
        <f>IF($G$144="LTM",IF($G$143="1 Year",'Multiples Data'!G9,IF($G$143="2 Year", 'Multiples Data'!G10,IF($G$143="3 Year",'Multiples Data'!G11, IF($G$143="5 Year", 'Multiples Data'!G12,"N/A")))),IF($G$144="NTM", IF($G$143="1 Year",'Multiples Data'!H9,IF($G$143="2 Year", 'Multiples Data'!H10,IF($G$143="3 Year",'Multiples Data'!H11, IF($G$143="5 Year", 'Multiples Data'!H12,"N/A"))))))</f>
        <v>14.636063040021257</v>
      </c>
      <c r="T118" s="8"/>
      <c r="U118" s="8"/>
      <c r="V118" s="8"/>
      <c r="W118" s="8"/>
      <c r="X118" s="8"/>
      <c r="Y118" s="8"/>
      <c r="Z118" s="8"/>
      <c r="AA118" s="8"/>
      <c r="AB118" s="8"/>
      <c r="AC118" s="8"/>
    </row>
    <row r="119" ht="13.5" customHeight="1" spans="1:29" x14ac:dyDescent="0.25">
      <c r="A119" s="8"/>
      <c r="B119" s="8"/>
      <c r="C119" s="8"/>
      <c r="D119" s="180" t="s">
        <v>962</v>
      </c>
      <c r="E119" s="8"/>
      <c r="F119" s="844">
        <f>IF(G144="LTM",IF(G142="1 Year",'Multiples Data'!E9,IF(G142="2 Year", 'Multiples Data'!E10,IF(G142="3 Year",'Multiples Data'!E11, IF(G142="5 Year", 'Multiples Data'!E12,"N/A")))),IF(G144="NTM", IF(G142="1 Year",'Multiples Data'!F9,IF(G142="2 Year", 'Multiples Data'!F10,IF(G142="3 Year",'Multiples Data'!F11, IF(G142="5 Year", 'Multiples Data'!F12,"N/A"))))))</f>
        <v>30.165016844253433</v>
      </c>
      <c r="G119" s="8"/>
      <c r="H119" s="180" t="s">
        <v>963</v>
      </c>
      <c r="I119" s="8"/>
      <c r="J119" s="844">
        <f>IF(G143="1 Year",J144,IF(G143="2 Year",J145,IF(G143="3 Year",J146,IF(G143="5 Year",J147,"N/A"))))</f>
        <v>45.517150681141054</v>
      </c>
      <c r="K119" s="845"/>
      <c r="L119" s="8"/>
      <c r="M119" s="180" t="s">
        <v>962</v>
      </c>
      <c r="N119" s="8"/>
      <c r="O119" s="844">
        <f>IF($G$144="LTM",IF($G$142="1 Year",'Multiples Data'!G9,IF($G$142="2 Year", 'Multiples Data'!G10,IF($G$142="3 Year",'Multiples Data'!G11, IF($G$142="5 Year", 'Multiples Data'!G12,"N/A")))),IF($G$144="NTM", IF($G$142="1 Year",'Multiples Data'!H9,IF($G$142="2 Year", 'Multiples Data'!H10,IF($G$142="3 Year",'Multiples Data'!H11, IF($G$142="5 Year", 'Multiples Data'!H12,"N/A"))))))</f>
        <v>14.636063040021257</v>
      </c>
      <c r="P119" s="181"/>
      <c r="Q119" s="180" t="s">
        <v>963</v>
      </c>
      <c r="R119" s="8"/>
      <c r="S119" s="844">
        <f>IF(G143="1 Year",K144,IF(G143="2 Year",K145,IF(G143="3 Year",K146,IF(G143="5 Year",K147,"N/A"))))</f>
        <v>14.615080444219608</v>
      </c>
      <c r="T119" s="8"/>
      <c r="U119" s="8"/>
      <c r="V119" s="8"/>
      <c r="W119" s="8"/>
      <c r="X119" s="8"/>
      <c r="Y119" s="8"/>
      <c r="Z119" s="8"/>
      <c r="AA119" s="8"/>
      <c r="AB119" s="8"/>
      <c r="AC119" s="8"/>
    </row>
    <row r="120" ht="13.5" customHeight="1" spans="1:29" x14ac:dyDescent="0.25">
      <c r="A120" s="8"/>
      <c r="B120" s="8"/>
      <c r="C120" s="8"/>
      <c r="D120" s="300" t="s">
        <v>964</v>
      </c>
      <c r="E120" s="296"/>
      <c r="F120" s="846">
        <f>F118/F119-1</f>
        <v>-0.007855861633936922</v>
      </c>
      <c r="G120" s="847"/>
      <c r="H120" s="300" t="s">
        <v>965</v>
      </c>
      <c r="I120" s="296"/>
      <c r="J120" s="848">
        <f>(J118-J119)/J119</f>
        <v>-0.3372824003073727</v>
      </c>
      <c r="K120" s="8"/>
      <c r="L120" s="8"/>
      <c r="M120" s="300" t="s">
        <v>964</v>
      </c>
      <c r="N120" s="296"/>
      <c r="O120" s="846">
        <f>O118/O119-1</f>
        <v>-0.008199413069812977</v>
      </c>
      <c r="P120" s="181"/>
      <c r="Q120" s="180" t="s">
        <v>965</v>
      </c>
      <c r="R120" s="8"/>
      <c r="S120" s="849">
        <f>S118/S119-1</f>
        <v>0.0014356811706739414</v>
      </c>
      <c r="T120" s="8"/>
      <c r="U120" s="8"/>
      <c r="V120" s="8"/>
      <c r="W120" s="8"/>
      <c r="X120" s="8"/>
      <c r="Y120" s="8"/>
      <c r="Z120" s="8"/>
      <c r="AA120" s="8"/>
      <c r="AB120" s="8"/>
      <c r="AC120" s="8"/>
    </row>
    <row r="121" ht="13.5" customHeight="1" spans="1:29" x14ac:dyDescent="0.25">
      <c r="A121" s="8"/>
      <c r="B121" s="8"/>
      <c r="C121" s="8"/>
      <c r="D121" s="300" t="s">
        <v>966</v>
      </c>
      <c r="E121" s="296"/>
      <c r="F121" s="850">
        <v>0</v>
      </c>
      <c r="G121" s="8"/>
      <c r="H121" s="180" t="s">
        <v>967</v>
      </c>
      <c r="I121" s="8"/>
      <c r="J121" s="844">
        <f>IF($G$145=$K$220,$E$11,IF($G$145=$N$220,$E$16,IF($G$145=$P$220,$E$21,"N/A")))</f>
        <v>44.00713824715302</v>
      </c>
      <c r="K121" s="8"/>
      <c r="L121" s="8"/>
      <c r="M121" s="300" t="s">
        <v>966</v>
      </c>
      <c r="N121" s="296"/>
      <c r="O121" s="850">
        <v>0</v>
      </c>
      <c r="P121" s="181"/>
      <c r="Q121" s="180" t="s">
        <v>967</v>
      </c>
      <c r="R121" s="8"/>
      <c r="S121" s="844">
        <f>IF($G$145=$K$220,$E$12,IF($G$145=$N$220,$E$17,IF($G$145=$P$220,$E$22,"N/A")))</f>
        <v>14.46947106879492</v>
      </c>
      <c r="T121" s="8"/>
      <c r="U121" s="8"/>
      <c r="V121" s="8"/>
      <c r="W121" s="8"/>
      <c r="X121" s="8"/>
      <c r="Y121" s="8"/>
      <c r="Z121" s="8"/>
      <c r="AA121" s="8"/>
      <c r="AB121" s="8"/>
      <c r="AC121" s="8"/>
    </row>
    <row r="122" ht="13.5" customHeight="1" spans="1:29" x14ac:dyDescent="0.25">
      <c r="A122" s="8"/>
      <c r="B122" s="8"/>
      <c r="C122" s="8"/>
      <c r="D122" s="180"/>
      <c r="E122" s="8"/>
      <c r="F122" s="181"/>
      <c r="G122" s="8"/>
      <c r="H122" s="180"/>
      <c r="I122" s="8"/>
      <c r="J122" s="181"/>
      <c r="K122" s="8"/>
      <c r="L122" s="8"/>
      <c r="M122" s="180"/>
      <c r="N122" s="8"/>
      <c r="O122" s="181"/>
      <c r="P122" s="181"/>
      <c r="Q122" s="180"/>
      <c r="R122" s="8"/>
      <c r="S122" s="181"/>
      <c r="T122" s="8"/>
      <c r="U122" s="8"/>
      <c r="V122" s="8"/>
      <c r="W122" s="8"/>
      <c r="X122" s="8"/>
      <c r="Y122" s="8"/>
      <c r="Z122" s="8"/>
      <c r="AA122" s="8"/>
      <c r="AB122" s="8"/>
      <c r="AC122" s="8"/>
    </row>
    <row r="123" ht="13.5" customHeight="1" spans="1:29" x14ac:dyDescent="0.25">
      <c r="A123" s="8"/>
      <c r="B123" s="8"/>
      <c r="C123" s="8"/>
      <c r="D123" s="180" t="s">
        <v>968</v>
      </c>
      <c r="E123" s="8"/>
      <c r="F123" s="844">
        <f>F119*(1+F121)</f>
        <v>30.165016844253433</v>
      </c>
      <c r="G123" s="8"/>
      <c r="H123" s="180" t="s">
        <v>968</v>
      </c>
      <c r="I123" s="8"/>
      <c r="J123" s="844">
        <f>I131</f>
        <v>29.164305028494866</v>
      </c>
      <c r="K123" s="8"/>
      <c r="L123" s="8"/>
      <c r="M123" s="180" t="s">
        <v>968</v>
      </c>
      <c r="N123" s="8"/>
      <c r="O123" s="844">
        <f>O119*(1+O121)</f>
        <v>14.636063040021257</v>
      </c>
      <c r="P123" s="181"/>
      <c r="Q123" s="180" t="s">
        <v>968</v>
      </c>
      <c r="R123" s="8"/>
      <c r="S123" s="844">
        <f>S121*(1+S120)</f>
        <v>14.490244615958</v>
      </c>
      <c r="T123" s="8"/>
      <c r="U123" s="8"/>
      <c r="V123" s="8"/>
      <c r="W123" s="8"/>
      <c r="X123" s="8"/>
      <c r="Y123" s="8"/>
      <c r="Z123" s="8"/>
      <c r="AA123" s="8"/>
      <c r="AB123" s="8"/>
      <c r="AC123" s="8"/>
    </row>
    <row r="124" ht="13.5" customHeight="1" spans="1:29" x14ac:dyDescent="0.25">
      <c r="A124" s="8"/>
      <c r="B124" s="8"/>
      <c r="C124" s="8"/>
      <c r="D124" s="180" t="s">
        <v>969</v>
      </c>
      <c r="E124" s="8"/>
      <c r="F124" s="851" t="e">
        <f>NTM_EPS</f>
        <v>#DIV/0!</v>
      </c>
      <c r="G124" s="8"/>
      <c r="H124" s="180" t="s">
        <v>969</v>
      </c>
      <c r="I124" s="8"/>
      <c r="J124" s="851" t="e">
        <f>F124</f>
        <v>#DIV/0!</v>
      </c>
      <c r="K124" s="8"/>
      <c r="L124" s="8"/>
      <c r="M124" s="852" t="s">
        <v>970</v>
      </c>
      <c r="N124" s="8"/>
      <c r="O124" s="853">
        <f>NTM_EBITDA</f>
        <v>5782.301040597087</v>
      </c>
      <c r="P124" s="181"/>
      <c r="Q124" s="180" t="s">
        <v>970</v>
      </c>
      <c r="R124" s="8"/>
      <c r="S124" s="853">
        <f>NTM_EBITDA</f>
        <v>5782.301040597087</v>
      </c>
      <c r="T124" s="8"/>
      <c r="U124" s="8"/>
      <c r="V124" s="8"/>
      <c r="W124" s="8"/>
      <c r="X124" s="8"/>
      <c r="Y124" s="8"/>
      <c r="Z124" s="8"/>
      <c r="AA124" s="8"/>
      <c r="AB124" s="8"/>
      <c r="AC124" s="8"/>
    </row>
    <row r="125" ht="13.5" customHeight="1" spans="1:29" x14ac:dyDescent="0.25">
      <c r="A125" s="8"/>
      <c r="B125" s="8"/>
      <c r="C125" s="8"/>
      <c r="D125" s="180"/>
      <c r="E125" s="8"/>
      <c r="F125" s="854"/>
      <c r="G125" s="8"/>
      <c r="H125" s="180"/>
      <c r="I125" s="8"/>
      <c r="J125" s="854"/>
      <c r="K125" s="8"/>
      <c r="L125" s="8"/>
      <c r="M125" s="180" t="s">
        <v>971</v>
      </c>
      <c r="N125" s="8"/>
      <c r="O125" s="853">
        <f>O123*O124</f>
        <v>84630.12254655949</v>
      </c>
      <c r="P125" s="181"/>
      <c r="Q125" s="180" t="s">
        <v>971</v>
      </c>
      <c r="R125" s="8"/>
      <c r="S125" s="853">
        <f>S123*S124</f>
        <v>83786.95652136028</v>
      </c>
      <c r="T125" s="8"/>
      <c r="U125" s="8"/>
      <c r="V125" s="8"/>
      <c r="W125" s="8"/>
      <c r="X125" s="8"/>
      <c r="Y125" s="8"/>
      <c r="Z125" s="8"/>
      <c r="AA125" s="8"/>
      <c r="AB125" s="8"/>
      <c r="AC125" s="8"/>
    </row>
    <row r="126" ht="13.5" customHeight="1" spans="1:29" x14ac:dyDescent="0.25">
      <c r="A126" s="8"/>
      <c r="B126" s="8"/>
      <c r="C126" s="8"/>
      <c r="D126" s="180" t="s">
        <v>972</v>
      </c>
      <c r="E126" s="8"/>
      <c r="F126" s="853" t="e">
        <f>F123*F124</f>
        <v>#DIV/0!</v>
      </c>
      <c r="G126" s="8"/>
      <c r="H126" s="180" t="s">
        <v>972</v>
      </c>
      <c r="I126" s="8"/>
      <c r="J126" s="853" t="e">
        <f>J123*J124</f>
        <v>#DIV/0!</v>
      </c>
      <c r="K126" s="8"/>
      <c r="L126" s="8"/>
      <c r="M126" s="180"/>
      <c r="N126" s="8"/>
      <c r="O126" s="181"/>
      <c r="P126" s="181"/>
      <c r="Q126" s="180"/>
      <c r="R126" s="8"/>
      <c r="S126" s="181"/>
      <c r="T126" s="8"/>
      <c r="U126" s="8"/>
      <c r="V126" s="8"/>
      <c r="W126" s="8"/>
      <c r="X126" s="8"/>
      <c r="Y126" s="8"/>
      <c r="Z126" s="8"/>
      <c r="AA126" s="8"/>
      <c r="AB126" s="8"/>
      <c r="AC126" s="8"/>
    </row>
    <row r="127" ht="13.5" customHeight="1" spans="1:29" x14ac:dyDescent="0.25">
      <c r="A127" s="8"/>
      <c r="B127" s="8"/>
      <c r="C127" s="8"/>
      <c r="D127" s="304" t="s">
        <v>973</v>
      </c>
      <c r="E127" s="122"/>
      <c r="F127" s="804" t="e">
        <f>F126/Share_Price-1</f>
        <v>#DIV/0!</v>
      </c>
      <c r="G127" s="8"/>
      <c r="H127" s="304" t="s">
        <v>973</v>
      </c>
      <c r="I127" s="122"/>
      <c r="J127" s="804" t="e">
        <f>J126/Share_Price-1</f>
        <v>#DIV/0!</v>
      </c>
      <c r="K127" s="8"/>
      <c r="L127" s="8"/>
      <c r="M127" s="180" t="s">
        <v>974</v>
      </c>
      <c r="N127" s="8"/>
      <c r="O127" s="855">
        <f t="shared" ref="O127:O132" si="7">K66</f>
        <v>58.332247659647805</v>
      </c>
      <c r="P127" s="181"/>
      <c r="Q127" s="180" t="s">
        <v>974</v>
      </c>
      <c r="R127" s="8"/>
      <c r="S127" s="794">
        <f t="shared" ref="S127:S132" si="8">O127</f>
        <v>58.332247659647805</v>
      </c>
      <c r="T127" s="8"/>
      <c r="U127" s="8"/>
      <c r="V127" s="8"/>
      <c r="W127" s="8"/>
      <c r="X127" s="8"/>
      <c r="Y127" s="8"/>
      <c r="Z127" s="8"/>
      <c r="AA127" s="8"/>
      <c r="AB127" s="8"/>
      <c r="AC127" s="8"/>
    </row>
    <row r="128" ht="13.5" customHeight="1" spans="1:29" x14ac:dyDescent="0.25">
      <c r="A128" s="8"/>
      <c r="B128" s="8"/>
      <c r="C128" s="8"/>
      <c r="D128" s="8"/>
      <c r="E128" s="8"/>
      <c r="F128" s="8"/>
      <c r="G128" s="8"/>
      <c r="H128" s="8"/>
      <c r="I128" s="8"/>
      <c r="J128" s="8"/>
      <c r="K128" s="8"/>
      <c r="L128" s="8"/>
      <c r="M128" s="180" t="s">
        <v>975</v>
      </c>
      <c r="N128" s="8"/>
      <c r="O128" s="855">
        <f t="shared" si="7"/>
        <v>0</v>
      </c>
      <c r="P128" s="181"/>
      <c r="Q128" s="180" t="s">
        <v>975</v>
      </c>
      <c r="R128" s="8"/>
      <c r="S128" s="794">
        <f t="shared" si="8"/>
        <v>0</v>
      </c>
      <c r="T128" s="8"/>
      <c r="U128" s="8"/>
      <c r="V128" s="8"/>
      <c r="W128" s="8"/>
      <c r="X128" s="8"/>
      <c r="Y128" s="8"/>
      <c r="Z128" s="8"/>
      <c r="AA128" s="8"/>
      <c r="AB128" s="8"/>
      <c r="AC128" s="8"/>
    </row>
    <row r="129" ht="13.5" customHeight="1" spans="1:29" x14ac:dyDescent="0.25">
      <c r="A129" s="8"/>
      <c r="B129" s="8"/>
      <c r="C129" s="8"/>
      <c r="D129" s="8"/>
      <c r="E129" s="8"/>
      <c r="F129" s="8"/>
      <c r="G129" s="8"/>
      <c r="H129" s="8"/>
      <c r="I129" s="8"/>
      <c r="J129" s="8"/>
      <c r="K129" s="8"/>
      <c r="L129" s="8"/>
      <c r="M129" s="180" t="s">
        <v>976</v>
      </c>
      <c r="N129" s="8"/>
      <c r="O129" s="855">
        <f t="shared" si="7"/>
        <v>-12747.758563460919</v>
      </c>
      <c r="P129" s="181"/>
      <c r="Q129" s="180" t="s">
        <v>976</v>
      </c>
      <c r="R129" s="8"/>
      <c r="S129" s="794">
        <f t="shared" si="8"/>
        <v>-12747.758563460919</v>
      </c>
      <c r="T129" s="8"/>
      <c r="U129" s="8"/>
      <c r="V129" s="8"/>
      <c r="W129" s="8"/>
      <c r="X129" s="8"/>
      <c r="Y129" s="8"/>
      <c r="Z129" s="8"/>
      <c r="AA129" s="8"/>
      <c r="AB129" s="8"/>
      <c r="AC129" s="8"/>
    </row>
    <row r="130" ht="13.5" customHeight="1" spans="1:29" x14ac:dyDescent="0.25">
      <c r="A130" s="8"/>
      <c r="B130" s="8"/>
      <c r="C130" s="8"/>
      <c r="D130" s="8"/>
      <c r="E130" s="8"/>
      <c r="F130" s="8"/>
      <c r="G130" s="8"/>
      <c r="H130" s="8"/>
      <c r="I130" s="75" t="s">
        <v>977</v>
      </c>
      <c r="J130" s="856" t="s">
        <v>978</v>
      </c>
      <c r="K130" s="8"/>
      <c r="L130" s="8"/>
      <c r="M130" s="180" t="s">
        <v>979</v>
      </c>
      <c r="N130" s="8"/>
      <c r="O130" s="855">
        <f t="shared" si="7"/>
        <v>0</v>
      </c>
      <c r="P130" s="181"/>
      <c r="Q130" s="180" t="s">
        <v>979</v>
      </c>
      <c r="R130" s="8"/>
      <c r="S130" s="794">
        <f t="shared" si="8"/>
        <v>0</v>
      </c>
      <c r="T130" s="8"/>
      <c r="U130" s="8"/>
      <c r="V130" s="8"/>
      <c r="W130" s="8"/>
      <c r="X130" s="8"/>
      <c r="Y130" s="8"/>
      <c r="Z130" s="8"/>
      <c r="AA130" s="8"/>
      <c r="AB130" s="8"/>
      <c r="AC130" s="8"/>
    </row>
    <row r="131" ht="13.5" customHeight="1" spans="1:29" x14ac:dyDescent="0.25">
      <c r="A131" s="8"/>
      <c r="B131" s="8"/>
      <c r="C131" s="8"/>
      <c r="D131" s="182" t="s">
        <v>969</v>
      </c>
      <c r="E131" s="123"/>
      <c r="F131" s="857" t="e">
        <f>IF(Last_FQR="3Q",SUM(Model!X56,Model!Z56:AB56),IF(Last_FQR="2Q",SUM(Model!W56:X56,Model!Z56:AA56),IF(Last_FQR="1Q",SUM(Model!V56:X56,Model!Z56),IF(Last_FQR="4Q",SUM(Model!U56:X56),"Error"))))</f>
        <v>#DIV/0!</v>
      </c>
      <c r="G131" s="8"/>
      <c r="H131" s="858" t="s">
        <v>980</v>
      </c>
      <c r="I131" s="859">
        <f>_xlfn.IFS(Case_Scenario="Base",I133,Case_Scenario="Bull",I132,Case_Scenario="Bear",I134)</f>
        <v>29.164305028494866</v>
      </c>
      <c r="J131" s="860">
        <f>_xlfn.IFS(Case_Scenario="Base",J133,Case_Scenario="Bull",J132,Case_Scenario="Bear",J134)</f>
        <v>-0.3372824003073727</v>
      </c>
      <c r="L131" s="861"/>
      <c r="M131" s="862" t="s">
        <v>981</v>
      </c>
      <c r="N131" s="8"/>
      <c r="O131" s="855">
        <f t="shared" si="7"/>
        <v>0</v>
      </c>
      <c r="P131" s="181"/>
      <c r="Q131" s="180" t="s">
        <v>981</v>
      </c>
      <c r="R131" s="8"/>
      <c r="S131" s="794">
        <f t="shared" si="8"/>
        <v>0</v>
      </c>
      <c r="T131" s="8"/>
      <c r="U131" s="8"/>
      <c r="V131" s="8"/>
      <c r="W131" s="8"/>
      <c r="X131" s="8"/>
      <c r="Y131" s="8"/>
      <c r="Z131" s="8"/>
      <c r="AA131" s="8"/>
      <c r="AB131" s="8"/>
      <c r="AC131" s="8"/>
    </row>
    <row r="132" ht="13.5" customHeight="1" spans="1:29" x14ac:dyDescent="0.25">
      <c r="A132" s="8"/>
      <c r="B132" s="8"/>
      <c r="C132" s="8"/>
      <c r="D132" s="184" t="s">
        <v>970</v>
      </c>
      <c r="E132" s="122"/>
      <c r="F132" s="863">
        <f>IF(Last_FQR="3Q",SUM(Model!X63,Model!Z63:AB63),IF(Last_FQR="2Q",SUM(Model!W63:X63,Model!Z63:AA63),IF(Last_FQR="1Q",SUM(Model!V63:X63,Model!Z63),IF(Last_FQR="4Q",SUM(Model!U63:X63),"Error"))))</f>
        <v>5782.301040597087</v>
      </c>
      <c r="G132" s="8"/>
      <c r="H132" s="864" t="s">
        <v>945</v>
      </c>
      <c r="I132" s="571">
        <f>$J$121*(1+J132)</f>
        <v>40.16608959028312</v>
      </c>
      <c r="J132" s="865">
        <f>J133+25%</f>
        <v>-0.08728240030737272</v>
      </c>
      <c r="L132" s="866"/>
      <c r="M132" s="862" t="s">
        <v>982</v>
      </c>
      <c r="N132" s="122"/>
      <c r="O132" s="867">
        <f t="shared" si="7"/>
        <v>0</v>
      </c>
      <c r="P132" s="181"/>
      <c r="Q132" s="184" t="s">
        <v>982</v>
      </c>
      <c r="R132" s="122"/>
      <c r="S132" s="867">
        <f t="shared" si="8"/>
        <v>0</v>
      </c>
      <c r="T132" s="8"/>
      <c r="U132" s="8"/>
      <c r="V132" s="8"/>
      <c r="W132" s="8"/>
      <c r="X132" s="8"/>
      <c r="Y132" s="8"/>
      <c r="Z132" s="8"/>
      <c r="AA132" s="8"/>
      <c r="AB132" s="8"/>
      <c r="AC132" s="8"/>
    </row>
    <row r="133" ht="13.5" customHeight="1" spans="1:29" x14ac:dyDescent="0.25">
      <c r="A133" s="8"/>
      <c r="B133" s="8"/>
      <c r="C133" s="8"/>
      <c r="D133" s="8"/>
      <c r="E133" s="8"/>
      <c r="F133" s="8"/>
      <c r="G133" s="8"/>
      <c r="H133" s="864" t="s">
        <v>26</v>
      </c>
      <c r="I133" s="571">
        <f>$J$121*(1+J133)</f>
        <v>29.164305028494866</v>
      </c>
      <c r="J133" s="865">
        <f>J120</f>
        <v>-0.3372824003073727</v>
      </c>
      <c r="L133" s="866"/>
      <c r="M133" s="868"/>
      <c r="N133" s="8"/>
      <c r="O133" s="181"/>
      <c r="P133" s="181"/>
      <c r="Q133" s="180"/>
      <c r="R133" s="8"/>
      <c r="S133" s="181"/>
      <c r="T133" s="8"/>
      <c r="U133" s="8"/>
      <c r="V133" s="8"/>
      <c r="W133" s="8"/>
      <c r="X133" s="8"/>
      <c r="Y133" s="8"/>
      <c r="Z133" s="8"/>
      <c r="AA133" s="8"/>
      <c r="AB133" s="8"/>
      <c r="AC133" s="8"/>
    </row>
    <row r="134" ht="13.5" customHeight="1" spans="1:29" x14ac:dyDescent="0.25">
      <c r="A134" s="8"/>
      <c r="B134" s="8"/>
      <c r="C134" s="8"/>
      <c r="D134" s="8"/>
      <c r="E134" s="8"/>
      <c r="F134" s="8"/>
      <c r="G134" s="8"/>
      <c r="H134" s="869" t="s">
        <v>944</v>
      </c>
      <c r="I134" s="870">
        <f>$J$121*(1+J134)</f>
        <v>18.16252046670661</v>
      </c>
      <c r="J134" s="871">
        <f>J133-25%</f>
        <v>-0.5872824003073727</v>
      </c>
      <c r="L134" s="866"/>
      <c r="M134" s="862" t="s">
        <v>983</v>
      </c>
      <c r="N134" s="8"/>
      <c r="O134" s="853">
        <f>SUM(O125:O132)</f>
        <v>71939.69623075823</v>
      </c>
      <c r="P134" s="181"/>
      <c r="Q134" s="180" t="s">
        <v>983</v>
      </c>
      <c r="R134" s="8"/>
      <c r="S134" s="853">
        <f>SUM(S125:S132)</f>
        <v>71096.53020555901</v>
      </c>
      <c r="T134" s="8"/>
      <c r="U134" s="8"/>
      <c r="V134" s="8"/>
      <c r="W134" s="8"/>
      <c r="X134" s="8"/>
      <c r="Y134" s="8"/>
      <c r="Z134" s="8"/>
      <c r="AA134" s="8"/>
      <c r="AB134" s="8"/>
      <c r="AC134" s="8"/>
    </row>
    <row r="135" ht="13.5" customHeight="1" spans="1:29" x14ac:dyDescent="0.25">
      <c r="A135" s="8"/>
      <c r="B135" s="8"/>
      <c r="C135" s="8"/>
      <c r="D135" s="8"/>
      <c r="E135" s="8"/>
      <c r="F135" s="8"/>
      <c r="G135" s="8"/>
      <c r="H135" s="8"/>
      <c r="I135" s="8"/>
      <c r="J135" s="8"/>
      <c r="L135" s="8"/>
      <c r="M135" s="862" t="s">
        <v>415</v>
      </c>
      <c r="N135" s="8"/>
      <c r="O135" s="853">
        <f>Diluted_Shares</f>
        <v>0</v>
      </c>
      <c r="P135" s="181"/>
      <c r="Q135" s="180" t="s">
        <v>415</v>
      </c>
      <c r="R135" s="8"/>
      <c r="S135" s="853">
        <f>Diluted_Shares</f>
        <v>0</v>
      </c>
      <c r="T135" s="8"/>
      <c r="U135" s="8"/>
      <c r="V135" s="8"/>
      <c r="W135" s="8"/>
      <c r="X135" s="8"/>
      <c r="Y135" s="8"/>
      <c r="Z135" s="8"/>
      <c r="AA135" s="8"/>
      <c r="AB135" s="8"/>
      <c r="AC135" s="8"/>
    </row>
    <row r="136" ht="13.5" customHeight="1" spans="1:29" x14ac:dyDescent="0.25">
      <c r="A136" s="8"/>
      <c r="B136" s="8"/>
      <c r="C136" s="8"/>
      <c r="D136" s="8"/>
      <c r="E136" s="8"/>
      <c r="F136" s="8"/>
      <c r="G136" s="8"/>
      <c r="H136" s="8"/>
      <c r="I136" s="8"/>
      <c r="J136" s="8"/>
      <c r="K136" s="8"/>
      <c r="L136" s="8"/>
      <c r="M136" s="180"/>
      <c r="N136" s="8"/>
      <c r="O136" s="181"/>
      <c r="P136" s="181"/>
      <c r="Q136" s="180"/>
      <c r="R136" s="8"/>
      <c r="S136" s="181"/>
      <c r="T136" s="8"/>
      <c r="U136" s="8"/>
      <c r="V136" s="8"/>
      <c r="W136" s="8"/>
      <c r="X136" s="8"/>
      <c r="Y136" s="8"/>
      <c r="Z136" s="8"/>
      <c r="AA136" s="8"/>
      <c r="AB136" s="8"/>
      <c r="AC136" s="8"/>
    </row>
    <row r="137" ht="13.5" customHeight="1" spans="1:29" x14ac:dyDescent="0.25">
      <c r="A137" s="8"/>
      <c r="B137" s="8"/>
      <c r="C137" s="8"/>
      <c r="D137" s="8"/>
      <c r="E137" s="8"/>
      <c r="F137" s="8"/>
      <c r="G137" s="8"/>
      <c r="H137" s="8"/>
      <c r="I137" s="8"/>
      <c r="J137" s="8"/>
      <c r="K137" s="8"/>
      <c r="L137" s="8"/>
      <c r="M137" s="180" t="s">
        <v>972</v>
      </c>
      <c r="N137" s="8"/>
      <c r="O137" s="853">
        <f>O134/O135</f>
        <v>230.3544547894916</v>
      </c>
      <c r="P137" s="181"/>
      <c r="Q137" s="180" t="s">
        <v>972</v>
      </c>
      <c r="R137" s="8"/>
      <c r="S137" s="853">
        <f>S134/S135</f>
        <v>227.65459559897218</v>
      </c>
      <c r="T137" s="8"/>
      <c r="U137" s="8"/>
      <c r="V137" s="8"/>
      <c r="W137" s="8"/>
      <c r="X137" s="8"/>
      <c r="Y137" s="8"/>
      <c r="Z137" s="8"/>
      <c r="AA137" s="8"/>
      <c r="AB137" s="8"/>
      <c r="AC137" s="8"/>
    </row>
    <row r="138" ht="13.5" customHeight="1" spans="1:29" x14ac:dyDescent="0.25">
      <c r="A138" s="8"/>
      <c r="B138" s="8"/>
      <c r="C138" s="8"/>
      <c r="D138" s="8"/>
      <c r="E138" s="8"/>
      <c r="F138" s="8"/>
      <c r="G138" s="8"/>
      <c r="H138" s="8"/>
      <c r="I138" s="8"/>
      <c r="J138" s="8"/>
      <c r="K138" s="8"/>
      <c r="L138" s="8"/>
      <c r="M138" s="304" t="s">
        <v>973</v>
      </c>
      <c r="N138" s="122"/>
      <c r="O138" s="804">
        <f>O137/Share_Price-1</f>
        <v>0.11524790505684623</v>
      </c>
      <c r="P138" s="181"/>
      <c r="Q138" s="304" t="s">
        <v>973</v>
      </c>
      <c r="R138" s="122"/>
      <c r="S138" s="804">
        <f>S137/Share_Price-1</f>
        <v>0.10217669135304841</v>
      </c>
      <c r="T138" s="8"/>
      <c r="U138" s="8"/>
      <c r="V138" s="8"/>
      <c r="W138" s="8"/>
      <c r="X138" s="8"/>
      <c r="Y138" s="8"/>
      <c r="Z138" s="8"/>
      <c r="AA138" s="8"/>
      <c r="AB138" s="8"/>
      <c r="AC138" s="8"/>
    </row>
    <row r="139" ht="4.5" customHeight="1" spans="1:29"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ht="13.5" customHeight="1" spans="1:29" x14ac:dyDescent="0.25">
      <c r="A140" s="257" t="s">
        <v>3</v>
      </c>
      <c r="B140" s="8"/>
      <c r="C140" s="729" t="s">
        <v>43</v>
      </c>
      <c r="D140" s="14"/>
      <c r="E140" s="14"/>
      <c r="F140" s="14"/>
      <c r="G140" s="14"/>
      <c r="H140" s="14"/>
      <c r="I140" s="14"/>
      <c r="J140" s="14"/>
      <c r="K140" s="14"/>
      <c r="L140" s="14"/>
      <c r="M140" s="14"/>
      <c r="N140" s="14"/>
      <c r="O140" s="14"/>
      <c r="P140" s="14"/>
      <c r="Q140" s="14"/>
      <c r="R140" s="14"/>
      <c r="S140" s="15"/>
      <c r="T140" s="257" t="s">
        <v>3</v>
      </c>
      <c r="U140" s="8"/>
      <c r="V140" s="8"/>
      <c r="W140" s="8"/>
      <c r="X140" s="8"/>
      <c r="Y140" s="8"/>
      <c r="Z140" s="8"/>
      <c r="AA140" s="8"/>
      <c r="AB140" s="8"/>
      <c r="AC140" s="8"/>
    </row>
    <row r="141" ht="4.5" customHeight="1" spans="1:29"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ht="13.5" customHeight="1" spans="1:29" x14ac:dyDescent="0.25">
      <c r="A142" s="8"/>
      <c r="B142" s="8"/>
      <c r="C142" s="8" t="s">
        <v>984</v>
      </c>
      <c r="D142" s="8"/>
      <c r="E142" s="8"/>
      <c r="F142" s="8"/>
      <c r="G142" s="35" t="s">
        <v>985</v>
      </c>
      <c r="H142" s="8"/>
      <c r="I142" s="8"/>
      <c r="J142" s="102" t="s">
        <v>986</v>
      </c>
      <c r="K142" s="103"/>
      <c r="L142" s="103"/>
      <c r="M142" s="8"/>
      <c r="N142" s="8"/>
      <c r="O142" s="8"/>
      <c r="P142" s="8"/>
      <c r="Q142" s="8"/>
      <c r="R142" s="8"/>
      <c r="S142" s="8"/>
      <c r="T142" s="8"/>
      <c r="U142" s="8"/>
      <c r="V142" s="8"/>
      <c r="W142" s="8"/>
      <c r="X142" s="8"/>
      <c r="Y142" s="8"/>
      <c r="Z142" s="8"/>
      <c r="AA142" s="8"/>
      <c r="AB142" s="8"/>
      <c r="AC142" s="8"/>
    </row>
    <row r="143" ht="13.5" customHeight="1" spans="1:29" x14ac:dyDescent="0.25">
      <c r="A143" s="8"/>
      <c r="B143" s="8"/>
      <c r="C143" s="8" t="s">
        <v>987</v>
      </c>
      <c r="D143" s="8"/>
      <c r="E143" s="8"/>
      <c r="F143" s="8"/>
      <c r="G143" s="35" t="s">
        <v>985</v>
      </c>
      <c r="H143" s="8"/>
      <c r="I143" s="8"/>
      <c r="J143" s="75" t="s">
        <v>135</v>
      </c>
      <c r="K143" s="75" t="s">
        <v>137</v>
      </c>
      <c r="L143" s="75"/>
      <c r="M143" s="75"/>
      <c r="N143" s="75"/>
      <c r="O143" s="8"/>
      <c r="P143" s="8"/>
      <c r="Q143" s="8"/>
      <c r="R143" s="8"/>
      <c r="S143" s="8"/>
      <c r="T143" s="8"/>
      <c r="U143" s="8"/>
      <c r="V143" s="8"/>
      <c r="W143" s="8"/>
      <c r="X143" s="8"/>
      <c r="Y143" s="8"/>
      <c r="Z143" s="8"/>
      <c r="AA143" s="8"/>
      <c r="AB143" s="8"/>
      <c r="AC143" s="8"/>
    </row>
    <row r="144" ht="13.5" customHeight="1" spans="1:29" x14ac:dyDescent="0.25">
      <c r="A144" s="8"/>
      <c r="B144" s="8"/>
      <c r="C144" s="8" t="s">
        <v>911</v>
      </c>
      <c r="D144" s="8"/>
      <c r="E144" s="8"/>
      <c r="F144" s="8"/>
      <c r="G144" s="35" t="s">
        <v>912</v>
      </c>
      <c r="H144" s="40" t="b">
        <f>G144=$D$24</f>
        <v>1</v>
      </c>
      <c r="I144" s="75" t="s">
        <v>988</v>
      </c>
      <c r="J144" s="753">
        <f>IF($G$145=$C$9,IF($G$144="LTM",'Multiples Data'!E31,IF($G$144="NTM",'Multiples Data'!F31,"N/A")),IF($G$145=Valuation!$C$14,IF(Valuation!$G$144="LTM",'Multiples Data'!E53,IF(Valuation!$G$144="NTM",'Multiples Data'!F53,"N/A")),IF($G$145=Valuation!$C$19,IF(Valuation!$G$144="LTM",'Multiples Data'!E75,IF($G$144="NTM",'Multiples Data'!F75,"N/A")))))</f>
        <v>47.86998939140844</v>
      </c>
      <c r="K144" s="753">
        <f>IF($G$145=$C$9,IF($G$144="LTM",'Multiples Data'!G31,IF($G$144="NTM",'Multiples Data'!H31,"N/A")),IF($G$145=Valuation!$C$14,IF(Valuation!$G$144="LTM",'Multiples Data'!G53,IF(Valuation!$G$144="NTM",'Multiples Data'!H53,"N/A")),IF($G$145=Valuation!$C$19,IF(Valuation!$G$144="LTM",'Multiples Data'!G75,IF($G$144="NTM",'Multiples Data'!H75,"N/A")))))</f>
        <v>14.901853050098833</v>
      </c>
      <c r="L144" s="753"/>
      <c r="M144" s="8"/>
      <c r="N144" s="75"/>
      <c r="O144" s="8"/>
      <c r="P144" s="8"/>
      <c r="Q144" s="8"/>
      <c r="R144" s="8"/>
      <c r="S144" s="8"/>
      <c r="T144" s="8"/>
      <c r="U144" s="8"/>
      <c r="V144" s="8"/>
      <c r="W144" s="8"/>
      <c r="X144" s="8"/>
      <c r="Y144" s="8"/>
      <c r="Z144" s="8"/>
      <c r="AA144" s="8"/>
      <c r="AB144" s="8"/>
      <c r="AC144" s="8"/>
    </row>
    <row r="145" ht="13.5" customHeight="1" spans="1:29" x14ac:dyDescent="0.25">
      <c r="A145" s="8"/>
      <c r="B145" s="8"/>
      <c r="C145" s="8" t="s">
        <v>989</v>
      </c>
      <c r="D145" s="8"/>
      <c r="E145" s="8"/>
      <c r="F145" s="8"/>
      <c r="G145" s="35" t="s">
        <v>668</v>
      </c>
      <c r="H145" s="8"/>
      <c r="I145" s="75" t="s">
        <v>985</v>
      </c>
      <c r="J145" s="753">
        <f>IF($G$145=$C$9,IF($G$144="LTM",'Multiples Data'!E32,IF($G$144="NTM",'Multiples Data'!F32,"N/A")),IF($G$145=Valuation!$C$14,IF(Valuation!$G$144="LTM",'Multiples Data'!E54,IF(Valuation!$G$144="NTM",'Multiples Data'!F54,"N/A")),IF($G$145=Valuation!$C$19,IF(Valuation!$G$144="LTM",'Multiples Data'!E76,IF($G$144="NTM",'Multiples Data'!F76,"N/A")))))</f>
        <v>45.517150681141054</v>
      </c>
      <c r="K145" s="753">
        <f>IF($G$145=$C$9,IF($G$144="LTM",'Multiples Data'!G32,IF($G$144="NTM",'Multiples Data'!H32,"N/A")),IF($G$145=Valuation!$C$14,IF(Valuation!$G$144="LTM",'Multiples Data'!G54,IF(Valuation!$G$144="NTM",'Multiples Data'!H54,"N/A")),IF($G$145=Valuation!$C$19,IF(Valuation!$G$144="LTM",'Multiples Data'!G76,IF($G$144="NTM",'Multiples Data'!H76,"N/A")))))</f>
        <v>14.615080444219608</v>
      </c>
      <c r="L145" s="753"/>
      <c r="M145" s="8"/>
      <c r="N145" s="75"/>
      <c r="O145" s="8"/>
      <c r="P145" s="8"/>
      <c r="Q145" s="8"/>
      <c r="R145" s="8"/>
      <c r="S145" s="8"/>
      <c r="T145" s="8"/>
      <c r="U145" s="8"/>
      <c r="V145" s="8"/>
      <c r="W145" s="8"/>
      <c r="X145" s="8"/>
      <c r="Y145" s="8"/>
      <c r="Z145" s="8"/>
      <c r="AA145" s="8"/>
      <c r="AB145" s="8"/>
      <c r="AC145" s="8"/>
    </row>
    <row r="146" ht="13.5" customHeight="1" spans="1:29" x14ac:dyDescent="0.25">
      <c r="A146" s="8"/>
      <c r="B146" s="8"/>
      <c r="C146" s="8"/>
      <c r="D146" s="8"/>
      <c r="E146" s="8"/>
      <c r="F146" s="8"/>
      <c r="G146" s="35"/>
      <c r="H146" s="8"/>
      <c r="I146" s="75" t="s">
        <v>990</v>
      </c>
      <c r="J146" s="753">
        <f>IF($G$145=$C$9,IF($G$144="LTM",'Multiples Data'!E33,IF($G$144="NTM",'Multiples Data'!F33,"N/A")),IF($G$145=Valuation!$C$14,IF(Valuation!$G$144="LTM",'Multiples Data'!E55,IF(Valuation!$G$144="NTM",'Multiples Data'!F55,"N/A")),IF($G$145=Valuation!$C$19,IF(Valuation!$G$144="LTM",'Multiples Data'!E77,IF($G$144="NTM",'Multiples Data'!F77,"N/A")))))</f>
        <v>43.77453800833605</v>
      </c>
      <c r="K146" s="753">
        <f>IF($G$145=$C$9,IF($G$144="LTM",'Multiples Data'!G33,IF($G$144="NTM",'Multiples Data'!H33,"N/A")),IF($G$145=Valuation!$C$14,IF(Valuation!$G$144="LTM",'Multiples Data'!G55,IF(Valuation!$G$144="NTM",'Multiples Data'!H55,"N/A")),IF($G$145=Valuation!$C$19,IF(Valuation!$G$144="LTM",'Multiples Data'!G77,IF($G$144="NTM",'Multiples Data'!H77,"N/A")))))</f>
        <v>14.412000070729407</v>
      </c>
      <c r="L146" s="753"/>
      <c r="M146" s="8"/>
      <c r="N146" s="75"/>
      <c r="O146" s="8"/>
      <c r="P146" s="8"/>
      <c r="Q146" s="8"/>
      <c r="R146" s="8"/>
      <c r="S146" s="8"/>
      <c r="T146" s="8"/>
      <c r="U146" s="8"/>
      <c r="V146" s="8"/>
      <c r="W146" s="8"/>
      <c r="X146" s="8"/>
      <c r="Y146" s="8"/>
      <c r="Z146" s="8"/>
      <c r="AA146" s="8"/>
      <c r="AB146" s="8"/>
      <c r="AC146" s="8"/>
    </row>
    <row r="147" ht="14.25" customHeight="1" spans="1:29" x14ac:dyDescent="0.25">
      <c r="A147" s="8"/>
      <c r="B147" s="8"/>
      <c r="C147" s="8"/>
      <c r="D147" s="8"/>
      <c r="E147" s="8"/>
      <c r="F147" s="8"/>
      <c r="G147" s="8"/>
      <c r="H147" s="8"/>
      <c r="I147" s="75" t="s">
        <v>991</v>
      </c>
      <c r="J147" s="753">
        <f>IF($G$145=$C$9,IF($G$144="LTM",'Multiples Data'!E34,IF($G$144="NTM",'Multiples Data'!F34,"N/A")),IF($G$145=Valuation!$C$14,IF(Valuation!$G$144="LTM",'Multiples Data'!E56,IF(Valuation!$G$144="NTM",'Multiples Data'!F56,"N/A")),IF($G$145=Valuation!$C$19,IF(Valuation!$G$144="LTM",'Multiples Data'!E78,IF($G$144="NTM",'Multiples Data'!F78,"N/A")))))</f>
        <v>56.24034700752069</v>
      </c>
      <c r="K147" s="753">
        <f>IF($G$145=$C$9,IF($G$144="LTM",'Multiples Data'!G34,IF($G$144="NTM",'Multiples Data'!H34,"N/A")),IF($G$145=Valuation!$C$14,IF(Valuation!$G$144="LTM",'Multiples Data'!G56,IF(Valuation!$G$144="NTM",'Multiples Data'!H56,"N/A")),IF($G$145=Valuation!$C$19,IF(Valuation!$G$144="LTM",'Multiples Data'!G78,IF($G$144="NTM",'Multiples Data'!H78,"N/A")))))</f>
        <v>14.52778559006374</v>
      </c>
      <c r="L147" s="753"/>
      <c r="M147" s="8"/>
      <c r="N147" s="8"/>
      <c r="O147" s="8"/>
      <c r="P147" s="8"/>
      <c r="Q147" s="8"/>
      <c r="R147" s="8"/>
      <c r="S147" s="8"/>
      <c r="T147" s="8"/>
      <c r="U147" s="8"/>
      <c r="V147" s="8"/>
      <c r="W147" s="8"/>
      <c r="X147" s="8"/>
      <c r="Y147" s="8"/>
      <c r="Z147" s="8"/>
      <c r="AA147" s="8"/>
      <c r="AB147" s="8"/>
      <c r="AC147" s="8"/>
    </row>
    <row r="148" ht="4.5" customHeight="1" spans="1:29"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ht="14.25" customHeight="1" spans="1:29" x14ac:dyDescent="0.25">
      <c r="A149" s="257" t="s">
        <v>3</v>
      </c>
      <c r="B149" s="8"/>
      <c r="C149" s="729" t="s">
        <v>946</v>
      </c>
      <c r="D149" s="14"/>
      <c r="E149" s="14"/>
      <c r="F149" s="14"/>
      <c r="G149" s="14"/>
      <c r="H149" s="14"/>
      <c r="I149" s="14"/>
      <c r="J149" s="14"/>
      <c r="K149" s="14"/>
      <c r="L149" s="14"/>
      <c r="M149" s="14"/>
      <c r="N149" s="14"/>
      <c r="O149" s="14"/>
      <c r="P149" s="14"/>
      <c r="Q149" s="14"/>
      <c r="R149" s="14"/>
      <c r="S149" s="15"/>
      <c r="T149" s="257" t="s">
        <v>3</v>
      </c>
      <c r="U149" s="8"/>
      <c r="V149" s="8"/>
      <c r="W149" s="8"/>
      <c r="X149" s="8"/>
      <c r="Y149" s="8"/>
      <c r="Z149" s="8"/>
      <c r="AA149" s="8"/>
      <c r="AB149" s="8"/>
      <c r="AC149" s="8"/>
    </row>
    <row r="150" ht="4.5" customHeight="1" spans="1:29" x14ac:dyDescent="0.25">
      <c r="A150" s="257"/>
      <c r="B150" s="8"/>
      <c r="C150" s="130"/>
      <c r="D150" s="40"/>
      <c r="E150" s="40"/>
      <c r="F150" s="40"/>
      <c r="G150" s="191"/>
      <c r="H150" s="191"/>
      <c r="I150" s="191"/>
      <c r="J150" s="191"/>
      <c r="K150" s="191"/>
      <c r="L150" s="191"/>
      <c r="M150" s="191"/>
      <c r="N150" s="191"/>
      <c r="O150" s="191"/>
      <c r="P150" s="191"/>
      <c r="Q150" s="191"/>
      <c r="R150" s="191"/>
      <c r="S150" s="191"/>
      <c r="T150" s="257"/>
      <c r="U150" s="8"/>
      <c r="V150" s="8"/>
      <c r="W150" s="8"/>
      <c r="X150" s="8"/>
      <c r="Y150" s="8"/>
      <c r="Z150" s="8"/>
      <c r="AA150" s="8"/>
      <c r="AB150" s="8"/>
      <c r="AC150" s="8"/>
    </row>
    <row r="151" ht="14.25" customHeight="1" spans="1:29" x14ac:dyDescent="0.25">
      <c r="A151" s="8"/>
      <c r="B151" s="8"/>
      <c r="C151" s="8" t="s">
        <v>992</v>
      </c>
      <c r="D151" s="8"/>
      <c r="E151" s="805">
        <f>$F$123</f>
        <v>30.165016844253433</v>
      </c>
      <c r="F151" s="696">
        <f>E151-H161</f>
        <v>0</v>
      </c>
      <c r="G151" s="8"/>
      <c r="H151" s="8" t="s">
        <v>993</v>
      </c>
      <c r="I151" s="8"/>
      <c r="J151" s="8"/>
      <c r="K151" s="805">
        <f>O123</f>
        <v>14.636063040021257</v>
      </c>
      <c r="L151" s="872"/>
      <c r="M151" s="696">
        <f>K151-H177</f>
        <v>0</v>
      </c>
      <c r="N151" s="8"/>
      <c r="O151" s="7" t="s">
        <v>969</v>
      </c>
      <c r="P151" s="8"/>
      <c r="Q151" s="8"/>
      <c r="R151" s="873" t="e">
        <f>F124</f>
        <v>#DIV/0!</v>
      </c>
      <c r="S151" s="874" t="e">
        <f>R151-E164</f>
        <v>#DIV/0!</v>
      </c>
      <c r="T151" s="8"/>
      <c r="U151" s="8"/>
      <c r="V151" s="8"/>
      <c r="W151" s="8"/>
      <c r="X151" s="8"/>
      <c r="Y151" s="8"/>
      <c r="Z151" s="8"/>
      <c r="AA151" s="8"/>
      <c r="AB151" s="8"/>
      <c r="AC151" s="8"/>
    </row>
    <row r="152" ht="14.25" customHeight="1" spans="1:29" x14ac:dyDescent="0.25">
      <c r="A152" s="8"/>
      <c r="B152" s="8"/>
      <c r="C152" s="8" t="s">
        <v>950</v>
      </c>
      <c r="D152" s="8"/>
      <c r="E152" s="814">
        <v>1</v>
      </c>
      <c r="F152" s="8"/>
      <c r="G152" s="8"/>
      <c r="H152" s="8" t="s">
        <v>950</v>
      </c>
      <c r="I152" s="8"/>
      <c r="J152" s="8"/>
      <c r="K152" s="814">
        <v>1</v>
      </c>
      <c r="L152" s="875"/>
      <c r="M152" s="876"/>
      <c r="N152" s="8"/>
      <c r="O152" s="519" t="s">
        <v>994</v>
      </c>
      <c r="P152" s="8"/>
      <c r="Q152" s="8"/>
      <c r="R152" s="8"/>
      <c r="S152" s="874" t="e">
        <f>R151-E172</f>
        <v>#DIV/0!</v>
      </c>
      <c r="T152" s="8"/>
      <c r="U152" s="8"/>
      <c r="V152" s="8"/>
      <c r="W152" s="8"/>
      <c r="X152" s="8"/>
      <c r="Y152" s="8"/>
      <c r="Z152" s="8"/>
      <c r="AA152" s="8"/>
      <c r="AB152" s="8"/>
      <c r="AC152" s="8"/>
    </row>
    <row r="153" ht="14.25" customHeight="1" spans="1:29" x14ac:dyDescent="0.25">
      <c r="A153" s="8"/>
      <c r="B153" s="8"/>
      <c r="C153" s="8" t="s">
        <v>995</v>
      </c>
      <c r="D153" s="8"/>
      <c r="E153" s="815">
        <v>0.1</v>
      </c>
      <c r="F153" s="8"/>
      <c r="G153" s="8"/>
      <c r="H153" s="8" t="s">
        <v>996</v>
      </c>
      <c r="I153" s="8"/>
      <c r="J153" s="8"/>
      <c r="K153" s="815">
        <v>0.1</v>
      </c>
      <c r="L153" s="877"/>
      <c r="M153" s="876"/>
      <c r="N153" s="8"/>
      <c r="O153" s="7" t="s">
        <v>970</v>
      </c>
      <c r="P153" s="8"/>
      <c r="Q153" s="8"/>
      <c r="R153" s="878">
        <f>O124</f>
        <v>5782.301040597087</v>
      </c>
      <c r="S153" s="874">
        <f>R153-E180</f>
        <v>0</v>
      </c>
      <c r="T153" s="8"/>
      <c r="U153" s="8"/>
      <c r="V153" s="8"/>
      <c r="W153" s="8"/>
      <c r="X153" s="8"/>
      <c r="Y153" s="8"/>
      <c r="Z153" s="8"/>
      <c r="AA153" s="8"/>
      <c r="AB153" s="8"/>
      <c r="AC153" s="8"/>
    </row>
    <row r="154" ht="14.25" customHeight="1" spans="1:29" x14ac:dyDescent="0.25">
      <c r="A154" s="8"/>
      <c r="B154" s="8"/>
      <c r="C154" s="8" t="s">
        <v>997</v>
      </c>
      <c r="D154" s="8"/>
      <c r="E154" s="805">
        <f>$J$123</f>
        <v>29.164305028494866</v>
      </c>
      <c r="F154" s="696">
        <f>E154-H169</f>
        <v>0</v>
      </c>
      <c r="G154" s="8"/>
      <c r="H154" s="8" t="s">
        <v>998</v>
      </c>
      <c r="I154" s="8"/>
      <c r="J154" s="8"/>
      <c r="K154" s="805">
        <f>S123</f>
        <v>14.490244615958</v>
      </c>
      <c r="L154" s="872"/>
      <c r="M154" s="696">
        <f>K154-H185</f>
        <v>0</v>
      </c>
      <c r="N154" s="879"/>
      <c r="O154" s="519" t="s">
        <v>994</v>
      </c>
      <c r="P154" s="880"/>
      <c r="Q154" s="8"/>
      <c r="R154" s="8"/>
      <c r="S154" s="874">
        <f>R153-E188</f>
        <v>0</v>
      </c>
      <c r="T154" s="8"/>
      <c r="U154" s="8"/>
      <c r="V154" s="8"/>
      <c r="W154" s="8"/>
      <c r="X154" s="8"/>
      <c r="Y154" s="8"/>
      <c r="Z154" s="8"/>
      <c r="AA154" s="8"/>
      <c r="AB154" s="8"/>
      <c r="AC154" s="8"/>
    </row>
    <row r="155" ht="14.25" customHeight="1" spans="1:29" x14ac:dyDescent="0.25">
      <c r="A155" s="8"/>
      <c r="B155" s="8"/>
      <c r="C155" s="8" t="s">
        <v>950</v>
      </c>
      <c r="D155" s="8"/>
      <c r="E155" s="814">
        <v>1</v>
      </c>
      <c r="F155" s="8"/>
      <c r="G155" s="8"/>
      <c r="H155" s="8" t="s">
        <v>950</v>
      </c>
      <c r="I155" s="8"/>
      <c r="J155" s="8"/>
      <c r="K155" s="814">
        <v>1</v>
      </c>
      <c r="L155" s="875"/>
      <c r="M155" s="876"/>
      <c r="N155" s="8"/>
      <c r="O155" s="8"/>
      <c r="P155" s="880"/>
      <c r="Q155" s="8"/>
      <c r="R155" s="8"/>
      <c r="S155" s="8"/>
      <c r="T155" s="8"/>
      <c r="U155" s="8"/>
      <c r="V155" s="8"/>
      <c r="W155" s="8"/>
      <c r="X155" s="8"/>
      <c r="Y155" s="8"/>
      <c r="Z155" s="8"/>
      <c r="AA155" s="8"/>
      <c r="AB155" s="8"/>
      <c r="AC155" s="8"/>
    </row>
    <row r="156" ht="14.25" customHeight="1" spans="1:29" x14ac:dyDescent="0.25">
      <c r="A156" s="8"/>
      <c r="B156" s="8"/>
      <c r="C156" s="8"/>
      <c r="D156" s="8"/>
      <c r="E156" s="35"/>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ht="4.5" customHeight="1" spans="1:29"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ht="14.25" customHeight="1" spans="1:29" x14ac:dyDescent="0.25">
      <c r="A158" s="8"/>
      <c r="B158" s="8"/>
      <c r="C158" s="8"/>
      <c r="D158" s="54" t="s">
        <v>953</v>
      </c>
      <c r="E158" s="14"/>
      <c r="F158" s="14"/>
      <c r="G158" s="14"/>
      <c r="H158" s="14"/>
      <c r="I158" s="14"/>
      <c r="J158" s="15"/>
      <c r="K158" s="818"/>
      <c r="L158" s="818"/>
      <c r="M158" s="54" t="s">
        <v>954</v>
      </c>
      <c r="N158" s="14"/>
      <c r="O158" s="14"/>
      <c r="P158" s="14"/>
      <c r="Q158" s="14"/>
      <c r="R158" s="14"/>
      <c r="S158" s="15"/>
      <c r="T158" s="8"/>
      <c r="U158" s="8"/>
      <c r="V158" s="8"/>
      <c r="W158" s="8"/>
      <c r="X158" s="8"/>
      <c r="Y158" s="8"/>
      <c r="Z158" s="8"/>
      <c r="AA158" s="8"/>
      <c r="AB158" s="8"/>
      <c r="AC158" s="8"/>
    </row>
    <row r="159" ht="4.5" customHeight="1" spans="1:29" x14ac:dyDescent="0.25">
      <c r="A159" s="8"/>
      <c r="B159" s="8"/>
      <c r="C159" s="8"/>
      <c r="D159" s="40"/>
      <c r="E159" s="191"/>
      <c r="F159" s="75"/>
      <c r="G159" s="75"/>
      <c r="H159" s="75"/>
      <c r="I159" s="75"/>
      <c r="J159" s="75"/>
      <c r="K159" s="818"/>
      <c r="L159" s="818"/>
      <c r="M159" s="40"/>
      <c r="N159" s="191"/>
      <c r="O159" s="75"/>
      <c r="P159" s="75"/>
      <c r="Q159" s="75"/>
      <c r="R159" s="75"/>
      <c r="S159" s="75"/>
      <c r="T159" s="8"/>
      <c r="U159" s="8"/>
      <c r="V159" s="8"/>
      <c r="W159" s="8"/>
      <c r="X159" s="8"/>
      <c r="Y159" s="8"/>
      <c r="Z159" s="8"/>
      <c r="AA159" s="8"/>
      <c r="AB159" s="8"/>
      <c r="AC159" s="8"/>
    </row>
    <row r="160" ht="14.25" customHeight="1" hidden="1" spans="1:29" x14ac:dyDescent="0.25">
      <c r="A160" s="8"/>
      <c r="B160" s="8"/>
      <c r="C160" s="8"/>
      <c r="D160" s="618"/>
      <c r="E160" s="620"/>
      <c r="F160" s="620" t="str">
        <f>G144&amp;" P/E"</f>
        <v>NTM P/E</v>
      </c>
      <c r="G160" s="697"/>
      <c r="H160" s="697"/>
      <c r="I160" s="697"/>
      <c r="J160" s="697"/>
      <c r="K160" s="8"/>
      <c r="L160" s="8"/>
      <c r="M160" s="618"/>
      <c r="N160" s="620"/>
      <c r="O160" s="620" t="str">
        <f>F160</f>
        <v>NTM P/E</v>
      </c>
      <c r="P160" s="697"/>
      <c r="Q160" s="697"/>
      <c r="R160" s="697"/>
      <c r="S160" s="697"/>
      <c r="T160" s="8"/>
      <c r="U160" s="8"/>
      <c r="V160" s="8"/>
      <c r="W160" s="8"/>
      <c r="X160" s="8"/>
      <c r="Y160" s="8"/>
      <c r="Z160" s="8"/>
      <c r="AA160" s="8"/>
      <c r="AB160" s="8"/>
      <c r="AC160" s="8"/>
    </row>
    <row r="161" ht="14.25" customHeight="1" hidden="1" spans="1:29" x14ac:dyDescent="0.25">
      <c r="A161" s="8"/>
      <c r="B161" s="8"/>
      <c r="C161" s="8"/>
      <c r="D161" s="8"/>
      <c r="E161" s="819" t="e">
        <f>$F$126</f>
        <v>#DIV/0!</v>
      </c>
      <c r="F161" s="820">
        <f>G161-$E$93</f>
        <v>28.165016844253433</v>
      </c>
      <c r="G161" s="820">
        <f>H161-$E$93</f>
        <v>29.165016844253433</v>
      </c>
      <c r="H161" s="821">
        <f>E151</f>
        <v>30.165016844253433</v>
      </c>
      <c r="I161" s="820">
        <f>H161+$E$93</f>
        <v>31.165016844253433</v>
      </c>
      <c r="J161" s="820">
        <f>I161+$E$93</f>
        <v>32.16501684425343</v>
      </c>
      <c r="K161" s="8"/>
      <c r="L161" s="8"/>
      <c r="M161" s="8"/>
      <c r="N161" s="822">
        <f>$H$73</f>
        <v>0</v>
      </c>
      <c r="O161" s="820">
        <f>F161</f>
        <v>28.165016844253433</v>
      </c>
      <c r="P161" s="820">
        <f>G161</f>
        <v>29.165016844253433</v>
      </c>
      <c r="Q161" s="820">
        <f>H161</f>
        <v>30.165016844253433</v>
      </c>
      <c r="R161" s="820">
        <f>I161</f>
        <v>31.165016844253433</v>
      </c>
      <c r="S161" s="820">
        <f>J161</f>
        <v>32.16501684425343</v>
      </c>
      <c r="T161" s="8"/>
      <c r="U161" s="8"/>
      <c r="V161" s="8"/>
      <c r="W161" s="8"/>
      <c r="X161" s="8"/>
      <c r="Y161" s="8"/>
      <c r="Z161" s="8"/>
      <c r="AA161" s="8"/>
      <c r="AB161" s="8"/>
      <c r="AC161" s="8"/>
    </row>
    <row r="162" ht="14.25" customHeight="1" hidden="1" spans="1:29" x14ac:dyDescent="0.25">
      <c r="A162" s="8"/>
      <c r="B162" s="8"/>
      <c r="C162" s="8"/>
      <c r="D162" s="702" t="s">
        <v>398</v>
      </c>
      <c r="E162" s="881" t="e">
        <f>$E$164*(1-(2*$E$153))</f>
        <v>#DIV/0!</v>
      </c>
      <c r="F162" s="824" t="e">
        <f t="shared" ref="F162:J166" si="9">F$161*$E162</f>
        <v>#DIV/0!</v>
      </c>
      <c r="G162" s="825" t="e">
        <f t="shared" si="9"/>
        <v>#DIV/0!</v>
      </c>
      <c r="H162" s="825" t="e">
        <f t="shared" si="9"/>
        <v>#DIV/0!</v>
      </c>
      <c r="I162" s="825" t="e">
        <f t="shared" si="9"/>
        <v>#DIV/0!</v>
      </c>
      <c r="J162" s="826" t="e">
        <f t="shared" si="9"/>
        <v>#DIV/0!</v>
      </c>
      <c r="K162" s="8"/>
      <c r="L162" s="8"/>
      <c r="M162" s="702" t="s">
        <v>398</v>
      </c>
      <c r="N162" s="881" t="e">
        <f>E162</f>
        <v>#DIV/0!</v>
      </c>
      <c r="O162" s="827" t="e">
        <f t="shared" ref="O162:S166" si="10">F162/Share_Price-1</f>
        <v>#DIV/0!</v>
      </c>
      <c r="P162" s="690" t="e">
        <f t="shared" si="10"/>
        <v>#DIV/0!</v>
      </c>
      <c r="Q162" s="690" t="e">
        <f t="shared" si="10"/>
        <v>#DIV/0!</v>
      </c>
      <c r="R162" s="690" t="e">
        <f t="shared" si="10"/>
        <v>#DIV/0!</v>
      </c>
      <c r="S162" s="828" t="e">
        <f t="shared" si="10"/>
        <v>#DIV/0!</v>
      </c>
      <c r="T162" s="8"/>
      <c r="U162" s="8"/>
      <c r="V162" s="8"/>
      <c r="W162" s="8"/>
      <c r="X162" s="8"/>
      <c r="Y162" s="8"/>
      <c r="Z162" s="8"/>
      <c r="AA162" s="8"/>
      <c r="AB162" s="8"/>
      <c r="AC162" s="8"/>
    </row>
    <row r="163" ht="14.25" customHeight="1" hidden="1" spans="1:29" x14ac:dyDescent="0.25">
      <c r="A163" s="8"/>
      <c r="B163" s="8"/>
      <c r="C163" s="8"/>
      <c r="D163" s="707"/>
      <c r="E163" s="881" t="e">
        <f>$E$164*(1-$E$153)</f>
        <v>#DIV/0!</v>
      </c>
      <c r="F163" s="830" t="e">
        <f t="shared" si="9"/>
        <v>#DIV/0!</v>
      </c>
      <c r="G163" s="831" t="e">
        <f t="shared" si="9"/>
        <v>#DIV/0!</v>
      </c>
      <c r="H163" s="831" t="e">
        <f t="shared" si="9"/>
        <v>#DIV/0!</v>
      </c>
      <c r="I163" s="831" t="e">
        <f t="shared" si="9"/>
        <v>#DIV/0!</v>
      </c>
      <c r="J163" s="832" t="e">
        <f t="shared" si="9"/>
        <v>#DIV/0!</v>
      </c>
      <c r="K163" s="8"/>
      <c r="L163" s="8"/>
      <c r="M163" s="707"/>
      <c r="N163" s="881" t="e">
        <f>E163</f>
        <v>#DIV/0!</v>
      </c>
      <c r="O163" s="833" t="e">
        <f t="shared" si="10"/>
        <v>#DIV/0!</v>
      </c>
      <c r="P163" s="576" t="e">
        <f t="shared" si="10"/>
        <v>#DIV/0!</v>
      </c>
      <c r="Q163" s="576" t="e">
        <f t="shared" si="10"/>
        <v>#DIV/0!</v>
      </c>
      <c r="R163" s="576" t="e">
        <f t="shared" si="10"/>
        <v>#DIV/0!</v>
      </c>
      <c r="S163" s="703" t="e">
        <f t="shared" si="10"/>
        <v>#DIV/0!</v>
      </c>
      <c r="T163" s="8"/>
      <c r="U163" s="8"/>
      <c r="V163" s="8"/>
      <c r="W163" s="8"/>
      <c r="X163" s="8"/>
      <c r="Y163" s="8"/>
      <c r="Z163" s="8"/>
      <c r="AA163" s="8"/>
      <c r="AB163" s="8"/>
      <c r="AC163" s="8"/>
    </row>
    <row r="164" ht="14.25" customHeight="1" hidden="1" spans="1:29" x14ac:dyDescent="0.25">
      <c r="A164" s="8"/>
      <c r="B164" s="8"/>
      <c r="C164" s="8"/>
      <c r="D164" s="707"/>
      <c r="E164" s="882" t="e">
        <f>R151</f>
        <v>#DIV/0!</v>
      </c>
      <c r="F164" s="830" t="e">
        <f t="shared" si="9"/>
        <v>#DIV/0!</v>
      </c>
      <c r="G164" s="831" t="e">
        <f t="shared" si="9"/>
        <v>#DIV/0!</v>
      </c>
      <c r="H164" s="831" t="e">
        <f>H$161*$E164</f>
        <v>#DIV/0!</v>
      </c>
      <c r="I164" s="831" t="e">
        <f t="shared" si="9"/>
        <v>#DIV/0!</v>
      </c>
      <c r="J164" s="832" t="e">
        <f t="shared" si="9"/>
        <v>#DIV/0!</v>
      </c>
      <c r="K164" s="8"/>
      <c r="L164" s="8"/>
      <c r="M164" s="707"/>
      <c r="N164" s="881" t="e">
        <f>E164</f>
        <v>#DIV/0!</v>
      </c>
      <c r="O164" s="833" t="e">
        <f t="shared" si="10"/>
        <v>#DIV/0!</v>
      </c>
      <c r="P164" s="576" t="e">
        <f t="shared" si="10"/>
        <v>#DIV/0!</v>
      </c>
      <c r="Q164" s="576" t="e">
        <f t="shared" si="10"/>
        <v>#DIV/0!</v>
      </c>
      <c r="R164" s="576" t="e">
        <f t="shared" si="10"/>
        <v>#DIV/0!</v>
      </c>
      <c r="S164" s="703" t="e">
        <f t="shared" si="10"/>
        <v>#DIV/0!</v>
      </c>
      <c r="T164" s="8"/>
      <c r="U164" s="8"/>
      <c r="V164" s="8"/>
      <c r="W164" s="8"/>
      <c r="X164" s="8"/>
      <c r="Y164" s="8"/>
      <c r="Z164" s="8"/>
      <c r="AA164" s="8"/>
      <c r="AB164" s="8"/>
      <c r="AC164" s="8"/>
    </row>
    <row r="165" ht="14.25" customHeight="1" hidden="1" spans="1:29" x14ac:dyDescent="0.25">
      <c r="A165" s="8"/>
      <c r="B165" s="8"/>
      <c r="C165" s="8"/>
      <c r="D165" s="707"/>
      <c r="E165" s="881" t="e">
        <f>$E$164*(1+$E$153)</f>
        <v>#DIV/0!</v>
      </c>
      <c r="F165" s="830" t="e">
        <f t="shared" si="9"/>
        <v>#DIV/0!</v>
      </c>
      <c r="G165" s="831" t="e">
        <f t="shared" si="9"/>
        <v>#DIV/0!</v>
      </c>
      <c r="H165" s="831" t="e">
        <f t="shared" si="9"/>
        <v>#DIV/0!</v>
      </c>
      <c r="I165" s="831" t="e">
        <f t="shared" si="9"/>
        <v>#DIV/0!</v>
      </c>
      <c r="J165" s="832" t="e">
        <f t="shared" si="9"/>
        <v>#DIV/0!</v>
      </c>
      <c r="K165" s="8"/>
      <c r="L165" s="8"/>
      <c r="M165" s="707"/>
      <c r="N165" s="881" t="e">
        <f>E165</f>
        <v>#DIV/0!</v>
      </c>
      <c r="O165" s="833" t="e">
        <f t="shared" si="10"/>
        <v>#DIV/0!</v>
      </c>
      <c r="P165" s="576" t="e">
        <f t="shared" si="10"/>
        <v>#DIV/0!</v>
      </c>
      <c r="Q165" s="576" t="e">
        <f t="shared" si="10"/>
        <v>#DIV/0!</v>
      </c>
      <c r="R165" s="576" t="e">
        <f t="shared" si="10"/>
        <v>#DIV/0!</v>
      </c>
      <c r="S165" s="703" t="e">
        <f t="shared" si="10"/>
        <v>#DIV/0!</v>
      </c>
      <c r="T165" s="8"/>
      <c r="U165" s="8"/>
      <c r="V165" s="8"/>
      <c r="W165" s="8"/>
      <c r="X165" s="8"/>
      <c r="Y165" s="8"/>
      <c r="Z165" s="8"/>
      <c r="AA165" s="8"/>
      <c r="AB165" s="8"/>
      <c r="AC165" s="8"/>
    </row>
    <row r="166" ht="14.25" customHeight="1" hidden="1" spans="1:29" x14ac:dyDescent="0.25">
      <c r="A166" s="8"/>
      <c r="B166" s="8"/>
      <c r="C166" s="8"/>
      <c r="D166" s="712"/>
      <c r="E166" s="881" t="e">
        <f>$E$164*(1+(2*$E$153))</f>
        <v>#DIV/0!</v>
      </c>
      <c r="F166" s="837" t="e">
        <f t="shared" si="9"/>
        <v>#DIV/0!</v>
      </c>
      <c r="G166" s="838" t="e">
        <f t="shared" si="9"/>
        <v>#DIV/0!</v>
      </c>
      <c r="H166" s="838" t="e">
        <f t="shared" si="9"/>
        <v>#DIV/0!</v>
      </c>
      <c r="I166" s="838" t="e">
        <f t="shared" si="9"/>
        <v>#DIV/0!</v>
      </c>
      <c r="J166" s="839" t="e">
        <f t="shared" si="9"/>
        <v>#DIV/0!</v>
      </c>
      <c r="K166" s="8"/>
      <c r="L166" s="8"/>
      <c r="M166" s="712"/>
      <c r="N166" s="881" t="e">
        <f>E166</f>
        <v>#DIV/0!</v>
      </c>
      <c r="O166" s="840" t="e">
        <f t="shared" si="10"/>
        <v>#DIV/0!</v>
      </c>
      <c r="P166" s="699" t="e">
        <f t="shared" si="10"/>
        <v>#DIV/0!</v>
      </c>
      <c r="Q166" s="699" t="e">
        <f t="shared" si="10"/>
        <v>#DIV/0!</v>
      </c>
      <c r="R166" s="699" t="e">
        <f t="shared" si="10"/>
        <v>#DIV/0!</v>
      </c>
      <c r="S166" s="841" t="e">
        <f t="shared" si="10"/>
        <v>#DIV/0!</v>
      </c>
      <c r="T166" s="8"/>
      <c r="U166" s="8"/>
      <c r="V166" s="8"/>
      <c r="W166" s="8"/>
      <c r="X166" s="8"/>
      <c r="Y166" s="8"/>
      <c r="Z166" s="8"/>
      <c r="AA166" s="8"/>
      <c r="AB166" s="8"/>
      <c r="AC166" s="8"/>
    </row>
    <row r="167" ht="14.25" customHeight="1" hidden="1" spans="1:29"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ht="14.25" customHeight="1" spans="1:29" x14ac:dyDescent="0.25">
      <c r="A168" s="8"/>
      <c r="B168" s="8"/>
      <c r="C168" s="8"/>
      <c r="D168" s="618"/>
      <c r="E168" s="620"/>
      <c r="F168" s="620" t="str">
        <f>G144&amp;" P/E Spread to Comps"</f>
        <v>NTM P/E Spread to Comps</v>
      </c>
      <c r="G168" s="697"/>
      <c r="H168" s="697"/>
      <c r="I168" s="697"/>
      <c r="J168" s="697"/>
      <c r="K168" s="8"/>
      <c r="L168" s="8"/>
      <c r="M168" s="618"/>
      <c r="N168" s="620"/>
      <c r="O168" s="620" t="str">
        <f>F168</f>
        <v>NTM P/E Spread to Comps</v>
      </c>
      <c r="P168" s="697"/>
      <c r="Q168" s="697"/>
      <c r="R168" s="697"/>
      <c r="S168" s="697"/>
      <c r="T168" s="8"/>
      <c r="U168" s="8"/>
      <c r="V168" s="8"/>
      <c r="W168" s="8"/>
      <c r="X168" s="8"/>
      <c r="Y168" s="8"/>
      <c r="Z168" s="8"/>
      <c r="AA168" s="8"/>
      <c r="AB168" s="8"/>
      <c r="AC168" s="8"/>
    </row>
    <row r="169" ht="14.25" customHeight="1" spans="1:29" x14ac:dyDescent="0.25">
      <c r="A169" s="8"/>
      <c r="B169" s="8"/>
      <c r="C169" s="8"/>
      <c r="D169" s="8"/>
      <c r="E169" s="819" t="e">
        <f>$J$126</f>
        <v>#DIV/0!</v>
      </c>
      <c r="F169" s="820">
        <f>G169-2</f>
        <v>25.164305028494866</v>
      </c>
      <c r="G169" s="820">
        <f>H169-2</f>
        <v>27.164305028494866</v>
      </c>
      <c r="H169" s="821">
        <f>E154</f>
        <v>29.164305028494866</v>
      </c>
      <c r="I169" s="820">
        <f>H169+2</f>
        <v>31.164305028494866</v>
      </c>
      <c r="J169" s="820">
        <f>I169+2</f>
        <v>33.164305028494866</v>
      </c>
      <c r="K169" s="8"/>
      <c r="L169" s="8"/>
      <c r="M169" s="8"/>
      <c r="N169" s="819">
        <f>$H$73</f>
        <v>0</v>
      </c>
      <c r="O169" s="820">
        <f>F169</f>
        <v>25.164305028494866</v>
      </c>
      <c r="P169" s="820">
        <f>G169</f>
        <v>27.164305028494866</v>
      </c>
      <c r="Q169" s="820">
        <f>H169</f>
        <v>29.164305028494866</v>
      </c>
      <c r="R169" s="820">
        <f>I169</f>
        <v>31.164305028494866</v>
      </c>
      <c r="S169" s="820">
        <f>J169</f>
        <v>33.164305028494866</v>
      </c>
      <c r="T169" s="8"/>
      <c r="U169" s="8"/>
      <c r="V169" s="8"/>
      <c r="W169" s="8"/>
      <c r="X169" s="8"/>
      <c r="Y169" s="8"/>
      <c r="Z169" s="8"/>
      <c r="AA169" s="8"/>
      <c r="AB169" s="8"/>
      <c r="AC169" s="8"/>
    </row>
    <row r="170" ht="14.25" customHeight="1" spans="1:29" x14ac:dyDescent="0.25">
      <c r="A170" s="8"/>
      <c r="B170" s="8"/>
      <c r="C170" s="8"/>
      <c r="D170" s="702" t="s">
        <v>398</v>
      </c>
      <c r="E170" s="881" t="e">
        <f>$E$172*(1-(2*$E$153))</f>
        <v>#DIV/0!</v>
      </c>
      <c r="F170" s="824" t="e">
        <f t="shared" ref="F170:J174" si="11">F$169*$E170</f>
        <v>#DIV/0!</v>
      </c>
      <c r="G170" s="825" t="e">
        <f t="shared" si="11"/>
        <v>#DIV/0!</v>
      </c>
      <c r="H170" s="825" t="e">
        <f t="shared" si="11"/>
        <v>#DIV/0!</v>
      </c>
      <c r="I170" s="825" t="e">
        <f t="shared" si="11"/>
        <v>#DIV/0!</v>
      </c>
      <c r="J170" s="826" t="e">
        <f t="shared" si="11"/>
        <v>#DIV/0!</v>
      </c>
      <c r="K170" s="8"/>
      <c r="L170" s="8"/>
      <c r="M170" s="702" t="s">
        <v>398</v>
      </c>
      <c r="N170" s="881" t="e">
        <f>E170</f>
        <v>#DIV/0!</v>
      </c>
      <c r="O170" s="827" t="e">
        <f t="shared" ref="O170:S174" si="12">F170/Share_Price-1</f>
        <v>#DIV/0!</v>
      </c>
      <c r="P170" s="690" t="e">
        <f t="shared" si="12"/>
        <v>#DIV/0!</v>
      </c>
      <c r="Q170" s="690" t="e">
        <f t="shared" si="12"/>
        <v>#DIV/0!</v>
      </c>
      <c r="R170" s="690" t="e">
        <f t="shared" si="12"/>
        <v>#DIV/0!</v>
      </c>
      <c r="S170" s="828" t="e">
        <f t="shared" si="12"/>
        <v>#DIV/0!</v>
      </c>
      <c r="T170" s="8"/>
      <c r="U170" s="8"/>
      <c r="V170" s="8"/>
      <c r="W170" s="8"/>
      <c r="X170" s="8"/>
      <c r="Y170" s="8"/>
      <c r="Z170" s="8"/>
      <c r="AA170" s="8"/>
      <c r="AB170" s="8"/>
      <c r="AC170" s="8"/>
    </row>
    <row r="171" ht="14.25" customHeight="1" spans="1:29" x14ac:dyDescent="0.25">
      <c r="A171" s="8"/>
      <c r="B171" s="8"/>
      <c r="C171" s="8"/>
      <c r="D171" s="707"/>
      <c r="E171" s="881" t="e">
        <f>$E$172*(1-$E$153)</f>
        <v>#DIV/0!</v>
      </c>
      <c r="F171" s="830" t="e">
        <f t="shared" si="11"/>
        <v>#DIV/0!</v>
      </c>
      <c r="G171" s="831" t="e">
        <f t="shared" si="11"/>
        <v>#DIV/0!</v>
      </c>
      <c r="H171" s="831" t="e">
        <f t="shared" si="11"/>
        <v>#DIV/0!</v>
      </c>
      <c r="I171" s="831" t="e">
        <f t="shared" si="11"/>
        <v>#DIV/0!</v>
      </c>
      <c r="J171" s="832" t="e">
        <f t="shared" si="11"/>
        <v>#DIV/0!</v>
      </c>
      <c r="K171" s="8"/>
      <c r="L171" s="8"/>
      <c r="M171" s="707"/>
      <c r="N171" s="881" t="e">
        <f>E171</f>
        <v>#DIV/0!</v>
      </c>
      <c r="O171" s="833" t="e">
        <f t="shared" si="12"/>
        <v>#DIV/0!</v>
      </c>
      <c r="P171" s="576" t="e">
        <f t="shared" si="12"/>
        <v>#DIV/0!</v>
      </c>
      <c r="Q171" s="576" t="e">
        <f t="shared" si="12"/>
        <v>#DIV/0!</v>
      </c>
      <c r="R171" s="576" t="e">
        <f t="shared" si="12"/>
        <v>#DIV/0!</v>
      </c>
      <c r="S171" s="703" t="e">
        <f t="shared" si="12"/>
        <v>#DIV/0!</v>
      </c>
      <c r="T171" s="8"/>
      <c r="U171" s="8"/>
      <c r="V171" s="8"/>
      <c r="W171" s="8"/>
      <c r="X171" s="8"/>
      <c r="Y171" s="8"/>
      <c r="Z171" s="8"/>
      <c r="AA171" s="8"/>
      <c r="AB171" s="8"/>
      <c r="AC171" s="8"/>
    </row>
    <row r="172" ht="14.25" customHeight="1" spans="1:29" x14ac:dyDescent="0.25">
      <c r="A172" s="8"/>
      <c r="B172" s="8"/>
      <c r="C172" s="8"/>
      <c r="D172" s="707"/>
      <c r="E172" s="882" t="e">
        <f>R151</f>
        <v>#DIV/0!</v>
      </c>
      <c r="F172" s="830" t="e">
        <f t="shared" si="11"/>
        <v>#DIV/0!</v>
      </c>
      <c r="G172" s="831" t="e">
        <f t="shared" si="11"/>
        <v>#DIV/0!</v>
      </c>
      <c r="H172" s="831" t="e">
        <f>H$169*$E172</f>
        <v>#DIV/0!</v>
      </c>
      <c r="I172" s="831" t="e">
        <f t="shared" si="11"/>
        <v>#DIV/0!</v>
      </c>
      <c r="J172" s="832" t="e">
        <f t="shared" si="11"/>
        <v>#DIV/0!</v>
      </c>
      <c r="K172" s="8"/>
      <c r="L172" s="8"/>
      <c r="M172" s="707"/>
      <c r="N172" s="881" t="e">
        <f>E172</f>
        <v>#DIV/0!</v>
      </c>
      <c r="O172" s="833" t="e">
        <f t="shared" si="12"/>
        <v>#DIV/0!</v>
      </c>
      <c r="P172" s="576" t="e">
        <f t="shared" si="12"/>
        <v>#DIV/0!</v>
      </c>
      <c r="Q172" s="576" t="e">
        <f t="shared" si="12"/>
        <v>#DIV/0!</v>
      </c>
      <c r="R172" s="576" t="e">
        <f t="shared" si="12"/>
        <v>#DIV/0!</v>
      </c>
      <c r="S172" s="703" t="e">
        <f t="shared" si="12"/>
        <v>#DIV/0!</v>
      </c>
      <c r="T172" s="8"/>
      <c r="U172" s="8"/>
      <c r="V172" s="8"/>
      <c r="W172" s="8"/>
      <c r="X172" s="8"/>
      <c r="Y172" s="8"/>
      <c r="Z172" s="8"/>
      <c r="AA172" s="8"/>
      <c r="AB172" s="8"/>
      <c r="AC172" s="8"/>
    </row>
    <row r="173" ht="14.25" customHeight="1" spans="1:29" x14ac:dyDescent="0.25">
      <c r="A173" s="8"/>
      <c r="B173" s="8"/>
      <c r="C173" s="8"/>
      <c r="D173" s="707"/>
      <c r="E173" s="881" t="e">
        <f>$E$172*(1+$E$153)</f>
        <v>#DIV/0!</v>
      </c>
      <c r="F173" s="830" t="e">
        <f t="shared" si="11"/>
        <v>#DIV/0!</v>
      </c>
      <c r="G173" s="831" t="e">
        <f t="shared" si="11"/>
        <v>#DIV/0!</v>
      </c>
      <c r="H173" s="831" t="e">
        <f t="shared" si="11"/>
        <v>#DIV/0!</v>
      </c>
      <c r="I173" s="831" t="e">
        <f t="shared" si="11"/>
        <v>#DIV/0!</v>
      </c>
      <c r="J173" s="832" t="e">
        <f t="shared" si="11"/>
        <v>#DIV/0!</v>
      </c>
      <c r="K173" s="8"/>
      <c r="L173" s="8"/>
      <c r="M173" s="707"/>
      <c r="N173" s="881" t="e">
        <f>E173</f>
        <v>#DIV/0!</v>
      </c>
      <c r="O173" s="833" t="e">
        <f t="shared" si="12"/>
        <v>#DIV/0!</v>
      </c>
      <c r="P173" s="576" t="e">
        <f t="shared" si="12"/>
        <v>#DIV/0!</v>
      </c>
      <c r="Q173" s="576" t="e">
        <f t="shared" si="12"/>
        <v>#DIV/0!</v>
      </c>
      <c r="R173" s="576" t="e">
        <f t="shared" si="12"/>
        <v>#DIV/0!</v>
      </c>
      <c r="S173" s="703" t="e">
        <f t="shared" si="12"/>
        <v>#DIV/0!</v>
      </c>
      <c r="T173" s="8"/>
      <c r="U173" s="8"/>
      <c r="V173" s="8"/>
      <c r="W173" s="8"/>
      <c r="X173" s="8"/>
      <c r="Y173" s="8"/>
      <c r="Z173" s="8"/>
      <c r="AA173" s="8"/>
      <c r="AB173" s="8"/>
      <c r="AC173" s="8"/>
    </row>
    <row r="174" ht="14.25" customHeight="1" spans="1:29" x14ac:dyDescent="0.25">
      <c r="A174" s="8"/>
      <c r="B174" s="8"/>
      <c r="C174" s="8"/>
      <c r="D174" s="712"/>
      <c r="E174" s="881" t="e">
        <f>$E$172*(1+(2*$E$153))</f>
        <v>#DIV/0!</v>
      </c>
      <c r="F174" s="837" t="e">
        <f t="shared" si="11"/>
        <v>#DIV/0!</v>
      </c>
      <c r="G174" s="838" t="e">
        <f t="shared" si="11"/>
        <v>#DIV/0!</v>
      </c>
      <c r="H174" s="838" t="e">
        <f t="shared" si="11"/>
        <v>#DIV/0!</v>
      </c>
      <c r="I174" s="838" t="e">
        <f t="shared" si="11"/>
        <v>#DIV/0!</v>
      </c>
      <c r="J174" s="839" t="e">
        <f t="shared" si="11"/>
        <v>#DIV/0!</v>
      </c>
      <c r="K174" s="8"/>
      <c r="L174" s="8"/>
      <c r="M174" s="712"/>
      <c r="N174" s="881" t="e">
        <f>E174</f>
        <v>#DIV/0!</v>
      </c>
      <c r="O174" s="840" t="e">
        <f t="shared" si="12"/>
        <v>#DIV/0!</v>
      </c>
      <c r="P174" s="699" t="e">
        <f t="shared" si="12"/>
        <v>#DIV/0!</v>
      </c>
      <c r="Q174" s="699" t="e">
        <f t="shared" si="12"/>
        <v>#DIV/0!</v>
      </c>
      <c r="R174" s="699" t="e">
        <f t="shared" si="12"/>
        <v>#DIV/0!</v>
      </c>
      <c r="S174" s="841" t="e">
        <f t="shared" si="12"/>
        <v>#DIV/0!</v>
      </c>
      <c r="T174" s="8"/>
      <c r="U174" s="8"/>
      <c r="V174" s="8"/>
      <c r="W174" s="8"/>
      <c r="X174" s="8"/>
      <c r="Y174" s="8"/>
      <c r="Z174" s="8"/>
      <c r="AA174" s="8"/>
      <c r="AB174" s="8"/>
      <c r="AC174" s="8"/>
    </row>
    <row r="175" ht="14.25" customHeight="1" spans="1:29"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ht="14.25" customHeight="1" hidden="1" spans="1:29" x14ac:dyDescent="0.25">
      <c r="A176" s="8"/>
      <c r="B176" s="8"/>
      <c r="C176" s="8"/>
      <c r="D176" s="618"/>
      <c r="E176" s="620"/>
      <c r="F176" s="620" t="str">
        <f>G144&amp;" EV/EBITDA"</f>
        <v>NTM EV/EBITDA</v>
      </c>
      <c r="G176" s="697"/>
      <c r="H176" s="697"/>
      <c r="I176" s="697"/>
      <c r="J176" s="697"/>
      <c r="K176" s="8"/>
      <c r="L176" s="8"/>
      <c r="M176" s="618"/>
      <c r="N176" s="620"/>
      <c r="O176" s="620" t="str">
        <f>F176</f>
        <v>NTM EV/EBITDA</v>
      </c>
      <c r="P176" s="697"/>
      <c r="Q176" s="697"/>
      <c r="R176" s="697"/>
      <c r="S176" s="697"/>
      <c r="T176" s="8"/>
      <c r="U176" s="8"/>
      <c r="V176" s="8"/>
      <c r="W176" s="8"/>
      <c r="X176" s="8"/>
      <c r="Y176" s="8"/>
      <c r="Z176" s="8"/>
      <c r="AA176" s="8"/>
      <c r="AB176" s="8"/>
      <c r="AC176" s="8"/>
    </row>
    <row r="177" ht="14.25" customHeight="1" hidden="1" spans="1:29" x14ac:dyDescent="0.25">
      <c r="A177" s="8"/>
      <c r="B177" s="8"/>
      <c r="C177" s="8"/>
      <c r="D177" s="8"/>
      <c r="E177" s="819">
        <f>$O$137</f>
        <v>230.3544547894916</v>
      </c>
      <c r="F177" s="820">
        <f>G177-$E$93</f>
        <v>12.636063040021257</v>
      </c>
      <c r="G177" s="820">
        <f>H177-$E$93</f>
        <v>13.636063040021257</v>
      </c>
      <c r="H177" s="821">
        <f>K151</f>
        <v>14.636063040021257</v>
      </c>
      <c r="I177" s="820">
        <f>H177+$E$93</f>
        <v>15.636063040021257</v>
      </c>
      <c r="J177" s="820">
        <f>I177+$E$93</f>
        <v>16.636063040021256</v>
      </c>
      <c r="K177" s="8"/>
      <c r="L177" s="8"/>
      <c r="M177" s="8"/>
      <c r="N177" s="819">
        <f>$H$73</f>
        <v>0</v>
      </c>
      <c r="O177" s="820">
        <f>F177</f>
        <v>12.636063040021257</v>
      </c>
      <c r="P177" s="820">
        <f>G177</f>
        <v>13.636063040021257</v>
      </c>
      <c r="Q177" s="820">
        <f>H177</f>
        <v>14.636063040021257</v>
      </c>
      <c r="R177" s="820">
        <f>I177</f>
        <v>15.636063040021257</v>
      </c>
      <c r="S177" s="820">
        <f>J177</f>
        <v>16.636063040021256</v>
      </c>
      <c r="T177" s="8"/>
      <c r="U177" s="8"/>
      <c r="V177" s="8"/>
      <c r="W177" s="8"/>
      <c r="X177" s="8"/>
      <c r="Y177" s="8"/>
      <c r="Z177" s="8"/>
      <c r="AA177" s="8"/>
      <c r="AB177" s="8"/>
      <c r="AC177" s="8"/>
    </row>
    <row r="178" ht="14.25" customHeight="1" hidden="1" spans="1:29" x14ac:dyDescent="0.25">
      <c r="A178" s="8"/>
      <c r="B178" s="8"/>
      <c r="C178" s="8"/>
      <c r="D178" s="702" t="s">
        <v>290</v>
      </c>
      <c r="E178" s="790">
        <f>$E$180*(1-(2*$K$153))</f>
        <v>4625.84083247767</v>
      </c>
      <c r="F178" s="824">
        <f t="shared" ref="F178:J182" si="13">((F$177*$E178+(SUM($O$127:$O$129)))/$O$135)</f>
        <v>146.53535080528653</v>
      </c>
      <c r="G178" s="825">
        <f t="shared" si="13"/>
        <v>161.347521258305</v>
      </c>
      <c r="H178" s="825">
        <f t="shared" si="13"/>
        <v>176.15969171132346</v>
      </c>
      <c r="I178" s="825">
        <f t="shared" si="13"/>
        <v>190.97186216434193</v>
      </c>
      <c r="J178" s="826">
        <f t="shared" si="13"/>
        <v>205.7840326173604</v>
      </c>
      <c r="K178" s="8"/>
      <c r="L178" s="8"/>
      <c r="M178" s="702" t="s">
        <v>290</v>
      </c>
      <c r="N178" s="790">
        <f>E178</f>
        <v>4625.84083247767</v>
      </c>
      <c r="O178" s="827">
        <f t="shared" ref="O178:S182" si="14">F178/Share_Price-1</f>
        <v>-0.2905574882339069</v>
      </c>
      <c r="P178" s="690">
        <f t="shared" si="14"/>
        <v>-0.21884521298327286</v>
      </c>
      <c r="Q178" s="690">
        <f t="shared" si="14"/>
        <v>-0.1471329377326388</v>
      </c>
      <c r="R178" s="690">
        <f t="shared" si="14"/>
        <v>-0.07542066248200474</v>
      </c>
      <c r="S178" s="828">
        <f t="shared" si="14"/>
        <v>-0.00370838723137068</v>
      </c>
      <c r="T178" s="8"/>
      <c r="U178" s="8"/>
      <c r="V178" s="8"/>
      <c r="W178" s="8"/>
      <c r="X178" s="8"/>
      <c r="Y178" s="8"/>
      <c r="Z178" s="8"/>
      <c r="AA178" s="8"/>
      <c r="AB178" s="8"/>
      <c r="AC178" s="8"/>
    </row>
    <row r="179" ht="14.25" customHeight="1" hidden="1" spans="1:29" x14ac:dyDescent="0.25">
      <c r="A179" s="8"/>
      <c r="B179" s="8"/>
      <c r="C179" s="8"/>
      <c r="D179" s="707"/>
      <c r="E179" s="790">
        <f>$E$180*(1-$K$153)</f>
        <v>5204.070936537379</v>
      </c>
      <c r="F179" s="830">
        <f t="shared" si="13"/>
        <v>169.93129075577173</v>
      </c>
      <c r="G179" s="831">
        <f t="shared" si="13"/>
        <v>186.5949825154175</v>
      </c>
      <c r="H179" s="831">
        <f t="shared" si="13"/>
        <v>203.25867427506327</v>
      </c>
      <c r="I179" s="831">
        <f t="shared" si="13"/>
        <v>219.92236603470909</v>
      </c>
      <c r="J179" s="832">
        <f t="shared" si="13"/>
        <v>236.58605779435482</v>
      </c>
      <c r="K179" s="8"/>
      <c r="L179" s="8"/>
      <c r="M179" s="707"/>
      <c r="N179" s="790">
        <f>E179</f>
        <v>5204.070936537379</v>
      </c>
      <c r="O179" s="833">
        <f t="shared" si="14"/>
        <v>-0.17728738438261094</v>
      </c>
      <c r="P179" s="576">
        <f t="shared" si="14"/>
        <v>-0.09661107472564756</v>
      </c>
      <c r="Q179" s="576">
        <f t="shared" si="14"/>
        <v>-0.015934765068684298</v>
      </c>
      <c r="R179" s="576">
        <f t="shared" si="14"/>
        <v>0.0647415445882793</v>
      </c>
      <c r="S179" s="703">
        <f t="shared" si="14"/>
        <v>0.14541785424524223</v>
      </c>
      <c r="T179" s="8"/>
      <c r="U179" s="8"/>
      <c r="V179" s="8"/>
      <c r="W179" s="8"/>
      <c r="X179" s="8"/>
      <c r="Y179" s="8"/>
      <c r="Z179" s="8"/>
      <c r="AA179" s="8"/>
      <c r="AB179" s="8"/>
      <c r="AC179" s="8"/>
    </row>
    <row r="180" ht="14.25" customHeight="1" hidden="1" spans="1:29" x14ac:dyDescent="0.25">
      <c r="A180" s="8"/>
      <c r="B180" s="8"/>
      <c r="C180" s="8"/>
      <c r="D180" s="707"/>
      <c r="E180" s="883">
        <f>R153</f>
        <v>5782.301040597087</v>
      </c>
      <c r="F180" s="830">
        <f t="shared" si="13"/>
        <v>193.32723070625693</v>
      </c>
      <c r="G180" s="831">
        <f t="shared" si="13"/>
        <v>211.84244377252998</v>
      </c>
      <c r="H180" s="831">
        <f t="shared" si="13"/>
        <v>230.3576568388031</v>
      </c>
      <c r="I180" s="831">
        <f t="shared" si="13"/>
        <v>248.8728699050762</v>
      </c>
      <c r="J180" s="832">
        <f t="shared" si="13"/>
        <v>267.38808297134926</v>
      </c>
      <c r="K180" s="8"/>
      <c r="L180" s="8"/>
      <c r="M180" s="707"/>
      <c r="N180" s="790">
        <f>E180</f>
        <v>5782.301040597087</v>
      </c>
      <c r="O180" s="833">
        <f t="shared" si="14"/>
        <v>-0.06401728053131484</v>
      </c>
      <c r="P180" s="576">
        <f t="shared" si="14"/>
        <v>0.02562306353197763</v>
      </c>
      <c r="Q180" s="576">
        <f t="shared" si="14"/>
        <v>0.11526340759527032</v>
      </c>
      <c r="R180" s="576">
        <f t="shared" si="14"/>
        <v>0.204903751658563</v>
      </c>
      <c r="S180" s="703">
        <f t="shared" si="14"/>
        <v>0.29454409572185547</v>
      </c>
      <c r="T180" s="8"/>
      <c r="U180" s="8"/>
      <c r="V180" s="8"/>
      <c r="W180" s="8"/>
      <c r="X180" s="8"/>
      <c r="Y180" s="8"/>
      <c r="Z180" s="8"/>
      <c r="AA180" s="8"/>
      <c r="AB180" s="8"/>
      <c r="AC180" s="8"/>
    </row>
    <row r="181" ht="14.25" customHeight="1" hidden="1" spans="1:29" x14ac:dyDescent="0.25">
      <c r="A181" s="8"/>
      <c r="B181" s="8"/>
      <c r="C181" s="8"/>
      <c r="D181" s="707"/>
      <c r="E181" s="790">
        <f>$E$180*(1+$K$153)</f>
        <v>6360.531144656797</v>
      </c>
      <c r="F181" s="830">
        <f t="shared" si="13"/>
        <v>216.72317065674213</v>
      </c>
      <c r="G181" s="831">
        <f t="shared" si="13"/>
        <v>237.08990502964252</v>
      </c>
      <c r="H181" s="831">
        <f t="shared" si="13"/>
        <v>257.456639402543</v>
      </c>
      <c r="I181" s="831">
        <f t="shared" si="13"/>
        <v>277.8233737754434</v>
      </c>
      <c r="J181" s="832">
        <f t="shared" si="13"/>
        <v>298.1901081483437</v>
      </c>
      <c r="K181" s="8"/>
      <c r="L181" s="8"/>
      <c r="M181" s="707"/>
      <c r="N181" s="790">
        <f>E181</f>
        <v>6360.531144656797</v>
      </c>
      <c r="O181" s="833">
        <f t="shared" si="14"/>
        <v>0.049252823319981154</v>
      </c>
      <c r="P181" s="576">
        <f t="shared" si="14"/>
        <v>0.14785720178960315</v>
      </c>
      <c r="Q181" s="576">
        <f t="shared" si="14"/>
        <v>0.24646158025922515</v>
      </c>
      <c r="R181" s="576">
        <f t="shared" si="14"/>
        <v>0.34506595872884693</v>
      </c>
      <c r="S181" s="703">
        <f t="shared" si="14"/>
        <v>0.4436703371984687</v>
      </c>
      <c r="T181" s="8"/>
      <c r="U181" s="8"/>
      <c r="V181" s="8"/>
      <c r="W181" s="8"/>
      <c r="X181" s="8"/>
      <c r="Y181" s="8"/>
      <c r="Z181" s="8"/>
      <c r="AA181" s="8"/>
      <c r="AB181" s="8"/>
      <c r="AC181" s="8"/>
    </row>
    <row r="182" ht="14.25" customHeight="1" hidden="1" spans="1:29" x14ac:dyDescent="0.25">
      <c r="A182" s="8"/>
      <c r="B182" s="8"/>
      <c r="C182" s="8"/>
      <c r="D182" s="712"/>
      <c r="E182" s="790">
        <f>$E$180*(1+(2*$K$153))</f>
        <v>6938.761248716504</v>
      </c>
      <c r="F182" s="837">
        <f t="shared" si="13"/>
        <v>240.11911060722733</v>
      </c>
      <c r="G182" s="838">
        <f t="shared" si="13"/>
        <v>262.337366286755</v>
      </c>
      <c r="H182" s="838">
        <f t="shared" si="13"/>
        <v>284.55562196628273</v>
      </c>
      <c r="I182" s="838">
        <f t="shared" si="13"/>
        <v>306.77387764581044</v>
      </c>
      <c r="J182" s="839">
        <f t="shared" si="13"/>
        <v>328.9921333253381</v>
      </c>
      <c r="K182" s="8"/>
      <c r="L182" s="8"/>
      <c r="M182" s="712"/>
      <c r="N182" s="790">
        <f>E182</f>
        <v>6938.761248716504</v>
      </c>
      <c r="O182" s="840">
        <f t="shared" si="14"/>
        <v>0.16252292717127714</v>
      </c>
      <c r="P182" s="699">
        <f t="shared" si="14"/>
        <v>0.27009134004722823</v>
      </c>
      <c r="Q182" s="699">
        <f t="shared" si="14"/>
        <v>0.37765975292317955</v>
      </c>
      <c r="R182" s="699">
        <f t="shared" si="14"/>
        <v>0.48522816579913064</v>
      </c>
      <c r="S182" s="841">
        <f t="shared" si="14"/>
        <v>0.5927965786750815</v>
      </c>
      <c r="T182" s="8"/>
      <c r="U182" s="8"/>
      <c r="V182" s="8"/>
      <c r="W182" s="8"/>
      <c r="X182" s="8"/>
      <c r="Y182" s="8"/>
      <c r="Z182" s="8"/>
      <c r="AA182" s="8"/>
      <c r="AB182" s="8"/>
      <c r="AC182" s="8"/>
    </row>
    <row r="183" ht="14.25" customHeight="1" hidden="1" spans="1:29"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ht="14.25" customHeight="1" hidden="1" spans="1:29" x14ac:dyDescent="0.25">
      <c r="A184" s="8"/>
      <c r="B184" s="8"/>
      <c r="C184" s="8"/>
      <c r="D184" s="618"/>
      <c r="E184" s="620"/>
      <c r="F184" s="620" t="str">
        <f>G144&amp;" EV/EBITDA Spread to Comps"</f>
        <v>NTM EV/EBITDA Spread to Comps</v>
      </c>
      <c r="G184" s="697"/>
      <c r="H184" s="697"/>
      <c r="I184" s="697"/>
      <c r="J184" s="697"/>
      <c r="K184" s="8"/>
      <c r="L184" s="8"/>
      <c r="M184" s="618"/>
      <c r="N184" s="620"/>
      <c r="O184" s="620" t="str">
        <f>F184</f>
        <v>NTM EV/EBITDA Spread to Comps</v>
      </c>
      <c r="P184" s="697"/>
      <c r="Q184" s="697"/>
      <c r="R184" s="697"/>
      <c r="S184" s="697"/>
      <c r="T184" s="8"/>
      <c r="U184" s="8"/>
      <c r="V184" s="8"/>
      <c r="W184" s="8"/>
      <c r="X184" s="8"/>
      <c r="Y184" s="8"/>
      <c r="Z184" s="8"/>
      <c r="AA184" s="8"/>
      <c r="AB184" s="8"/>
      <c r="AC184" s="8"/>
    </row>
    <row r="185" ht="14.25" customHeight="1" hidden="1" spans="1:29" x14ac:dyDescent="0.25">
      <c r="A185" s="8"/>
      <c r="B185" s="8"/>
      <c r="C185" s="8"/>
      <c r="D185" s="8"/>
      <c r="E185" s="819">
        <f>$S$137</f>
        <v>227.65459559897218</v>
      </c>
      <c r="F185" s="820">
        <f>G185-$E$93</f>
        <v>12.490244615958</v>
      </c>
      <c r="G185" s="820">
        <f>H185-$E$93</f>
        <v>13.490244615958</v>
      </c>
      <c r="H185" s="821">
        <f>K154</f>
        <v>14.490244615958</v>
      </c>
      <c r="I185" s="820">
        <f>H185+$E$93</f>
        <v>15.490244615958</v>
      </c>
      <c r="J185" s="820">
        <f>I185+$E$93</f>
        <v>16.490244615957998</v>
      </c>
      <c r="K185" s="8"/>
      <c r="L185" s="8"/>
      <c r="M185" s="8"/>
      <c r="N185" s="819">
        <f>$H$73</f>
        <v>0</v>
      </c>
      <c r="O185" s="820">
        <f>F185</f>
        <v>12.490244615958</v>
      </c>
      <c r="P185" s="820">
        <f>G185</f>
        <v>13.490244615958</v>
      </c>
      <c r="Q185" s="820">
        <f>H185</f>
        <v>14.490244615958</v>
      </c>
      <c r="R185" s="820">
        <f>I185</f>
        <v>15.490244615958</v>
      </c>
      <c r="S185" s="820">
        <f>J185</f>
        <v>16.490244615957998</v>
      </c>
      <c r="T185" s="8"/>
      <c r="U185" s="8"/>
      <c r="V185" s="8"/>
      <c r="W185" s="8"/>
      <c r="X185" s="8"/>
      <c r="Y185" s="8"/>
      <c r="Z185" s="8"/>
      <c r="AA185" s="8"/>
      <c r="AB185" s="8"/>
      <c r="AC185" s="8"/>
    </row>
    <row r="186" ht="14.25" customHeight="1" hidden="1" spans="1:29" x14ac:dyDescent="0.25">
      <c r="A186" s="8"/>
      <c r="B186" s="8"/>
      <c r="C186" s="8"/>
      <c r="D186" s="702" t="s">
        <v>290</v>
      </c>
      <c r="E186" s="790">
        <f>$E$188*(1-(2*$K$153))</f>
        <v>4625.84083247767</v>
      </c>
      <c r="F186" s="824">
        <f t="shared" ref="F186:J190" si="15">((F$185*$E186+(SUM($O$127:$O$129)))/$O$135)</f>
        <v>144.37546345287103</v>
      </c>
      <c r="G186" s="825">
        <f t="shared" si="15"/>
        <v>159.1876339058895</v>
      </c>
      <c r="H186" s="825">
        <f t="shared" si="15"/>
        <v>173.999804358908</v>
      </c>
      <c r="I186" s="825">
        <f t="shared" si="15"/>
        <v>188.81197481192646</v>
      </c>
      <c r="J186" s="826">
        <f t="shared" si="15"/>
        <v>203.6241452649449</v>
      </c>
      <c r="K186" s="8"/>
      <c r="L186" s="8"/>
      <c r="M186" s="702" t="s">
        <v>290</v>
      </c>
      <c r="N186" s="790">
        <f>E186</f>
        <v>4625.84083247767</v>
      </c>
      <c r="O186" s="827">
        <f t="shared" ref="O186:S190" si="16">F186/Share_Price-1</f>
        <v>-0.3010144591969449</v>
      </c>
      <c r="P186" s="690">
        <f t="shared" si="16"/>
        <v>-0.22930218394631086</v>
      </c>
      <c r="Q186" s="690">
        <f t="shared" si="16"/>
        <v>-0.15758990869567668</v>
      </c>
      <c r="R186" s="690">
        <f t="shared" si="16"/>
        <v>-0.08587763344504262</v>
      </c>
      <c r="S186" s="828">
        <f t="shared" si="16"/>
        <v>-0.014165358194408673</v>
      </c>
      <c r="T186" s="8"/>
      <c r="U186" s="8"/>
      <c r="V186" s="8"/>
      <c r="W186" s="8"/>
      <c r="X186" s="8"/>
      <c r="Y186" s="8"/>
      <c r="Z186" s="8"/>
      <c r="AA186" s="8"/>
      <c r="AB186" s="8"/>
      <c r="AC186" s="8"/>
    </row>
    <row r="187" ht="14.25" customHeight="1" hidden="1" spans="1:29" x14ac:dyDescent="0.25">
      <c r="A187" s="8"/>
      <c r="B187" s="8"/>
      <c r="C187" s="8"/>
      <c r="D187" s="707"/>
      <c r="E187" s="790">
        <f>$E$188*(1-$K$153)</f>
        <v>5204.070936537379</v>
      </c>
      <c r="F187" s="830">
        <f t="shared" si="15"/>
        <v>167.50141748430428</v>
      </c>
      <c r="G187" s="831">
        <f t="shared" si="15"/>
        <v>184.16510924395004</v>
      </c>
      <c r="H187" s="831">
        <f t="shared" si="15"/>
        <v>200.82880100359583</v>
      </c>
      <c r="I187" s="831">
        <f t="shared" si="15"/>
        <v>217.49249276324164</v>
      </c>
      <c r="J187" s="832">
        <f t="shared" si="15"/>
        <v>234.15618452288737</v>
      </c>
      <c r="K187" s="8"/>
      <c r="L187" s="8"/>
      <c r="M187" s="707"/>
      <c r="N187" s="790">
        <f>E187</f>
        <v>5204.070936537379</v>
      </c>
      <c r="O187" s="833">
        <f t="shared" si="16"/>
        <v>-0.18905147671602873</v>
      </c>
      <c r="P187" s="576">
        <f t="shared" si="16"/>
        <v>-0.10837516705906547</v>
      </c>
      <c r="Q187" s="576">
        <f t="shared" si="16"/>
        <v>-0.027698857402102095</v>
      </c>
      <c r="R187" s="576">
        <f t="shared" si="16"/>
        <v>0.05297745225486139</v>
      </c>
      <c r="S187" s="703">
        <f t="shared" si="16"/>
        <v>0.13365376191182454</v>
      </c>
      <c r="T187" s="8"/>
      <c r="U187" s="8"/>
      <c r="V187" s="8"/>
      <c r="W187" s="8"/>
      <c r="X187" s="8"/>
      <c r="Y187" s="8"/>
      <c r="Z187" s="8"/>
      <c r="AA187" s="8"/>
      <c r="AB187" s="8"/>
      <c r="AC187" s="8"/>
    </row>
    <row r="188" ht="14.25" customHeight="1" hidden="1" spans="1:29" x14ac:dyDescent="0.25">
      <c r="A188" s="8"/>
      <c r="B188" s="8"/>
      <c r="C188" s="8"/>
      <c r="D188" s="707"/>
      <c r="E188" s="883">
        <f>R153</f>
        <v>5782.301040597087</v>
      </c>
      <c r="F188" s="830">
        <f t="shared" si="15"/>
        <v>190.62737151573754</v>
      </c>
      <c r="G188" s="831">
        <f t="shared" si="15"/>
        <v>209.14258458201064</v>
      </c>
      <c r="H188" s="831">
        <f t="shared" si="15"/>
        <v>227.6577976482837</v>
      </c>
      <c r="I188" s="831">
        <f t="shared" si="15"/>
        <v>246.17301071455682</v>
      </c>
      <c r="J188" s="832">
        <f t="shared" si="15"/>
        <v>264.68822378082984</v>
      </c>
      <c r="K188" s="8"/>
      <c r="L188" s="8"/>
      <c r="M188" s="707"/>
      <c r="N188" s="790">
        <f>E188</f>
        <v>5782.301040597087</v>
      </c>
      <c r="O188" s="833">
        <f t="shared" si="16"/>
        <v>-0.07708849423511244</v>
      </c>
      <c r="P188" s="576">
        <f t="shared" si="16"/>
        <v>0.01255184982818025</v>
      </c>
      <c r="Q188" s="576">
        <f t="shared" si="16"/>
        <v>0.10219219389147272</v>
      </c>
      <c r="R188" s="576">
        <f t="shared" si="16"/>
        <v>0.1918325379547654</v>
      </c>
      <c r="S188" s="703">
        <f t="shared" si="16"/>
        <v>0.28147288201805765</v>
      </c>
      <c r="T188" s="8"/>
      <c r="U188" s="8"/>
      <c r="V188" s="8"/>
      <c r="W188" s="8"/>
      <c r="X188" s="8"/>
      <c r="Y188" s="8"/>
      <c r="Z188" s="8"/>
      <c r="AA188" s="8"/>
      <c r="AB188" s="8"/>
      <c r="AC188" s="8"/>
    </row>
    <row r="189" ht="15" customHeight="1" hidden="1" spans="1:29" x14ac:dyDescent="0.25">
      <c r="A189" s="8"/>
      <c r="B189" s="8"/>
      <c r="C189" s="8"/>
      <c r="D189" s="707"/>
      <c r="E189" s="790">
        <f>$E$188*(1+$K$153)</f>
        <v>6360.531144656797</v>
      </c>
      <c r="F189" s="830">
        <f t="shared" si="15"/>
        <v>213.75332554717082</v>
      </c>
      <c r="G189" s="831">
        <f t="shared" si="15"/>
        <v>234.1200599200712</v>
      </c>
      <c r="H189" s="831">
        <f t="shared" si="15"/>
        <v>254.4867942929716</v>
      </c>
      <c r="I189" s="831">
        <f t="shared" si="15"/>
        <v>274.85352866587203</v>
      </c>
      <c r="J189" s="832">
        <f t="shared" si="15"/>
        <v>295.22026303877243</v>
      </c>
      <c r="K189" s="8"/>
      <c r="L189" s="8"/>
      <c r="M189" s="707"/>
      <c r="N189" s="790">
        <f>E189</f>
        <v>6360.531144656797</v>
      </c>
      <c r="O189" s="833">
        <f t="shared" si="16"/>
        <v>0.03487448824580386</v>
      </c>
      <c r="P189" s="576">
        <f t="shared" si="16"/>
        <v>0.13347886671542586</v>
      </c>
      <c r="Q189" s="576">
        <f t="shared" si="16"/>
        <v>0.23208324518504764</v>
      </c>
      <c r="R189" s="576">
        <f t="shared" si="16"/>
        <v>0.33068762365466964</v>
      </c>
      <c r="S189" s="703">
        <f t="shared" si="16"/>
        <v>0.4292920021242914</v>
      </c>
      <c r="T189" s="8"/>
      <c r="U189" s="8"/>
      <c r="V189" s="8"/>
      <c r="W189" s="8"/>
      <c r="X189" s="8"/>
      <c r="Y189" s="8"/>
      <c r="Z189" s="8"/>
      <c r="AA189" s="8"/>
      <c r="AB189" s="8"/>
      <c r="AC189" s="8"/>
    </row>
    <row r="190" ht="14.25" customHeight="1" hidden="1" spans="1:29" x14ac:dyDescent="0.25">
      <c r="A190" s="8"/>
      <c r="B190" s="8"/>
      <c r="C190" s="8"/>
      <c r="D190" s="712"/>
      <c r="E190" s="790">
        <f>$E$188*(1+(2*$K$153))</f>
        <v>6938.761248716504</v>
      </c>
      <c r="F190" s="837">
        <f t="shared" si="15"/>
        <v>236.87927957860404</v>
      </c>
      <c r="G190" s="838">
        <f t="shared" si="15"/>
        <v>259.09753525813176</v>
      </c>
      <c r="H190" s="838">
        <f t="shared" si="15"/>
        <v>281.3157909376595</v>
      </c>
      <c r="I190" s="838">
        <f t="shared" si="15"/>
        <v>303.5340466171872</v>
      </c>
      <c r="J190" s="839">
        <f t="shared" si="15"/>
        <v>325.75230229671484</v>
      </c>
      <c r="K190" s="8"/>
      <c r="L190" s="8"/>
      <c r="M190" s="712"/>
      <c r="N190" s="790">
        <f>E190</f>
        <v>6938.761248716504</v>
      </c>
      <c r="O190" s="840">
        <f t="shared" si="16"/>
        <v>0.14683747072672015</v>
      </c>
      <c r="P190" s="699">
        <f t="shared" si="16"/>
        <v>0.25440588360267125</v>
      </c>
      <c r="Q190" s="699">
        <f t="shared" si="16"/>
        <v>0.36197429647862234</v>
      </c>
      <c r="R190" s="699">
        <f t="shared" si="16"/>
        <v>0.46954270935457365</v>
      </c>
      <c r="S190" s="841">
        <f t="shared" si="16"/>
        <v>0.5771111222305245</v>
      </c>
      <c r="T190" s="8"/>
      <c r="U190" s="8"/>
      <c r="V190" s="8"/>
      <c r="W190" s="8"/>
      <c r="X190" s="8"/>
      <c r="Y190" s="8"/>
      <c r="Z190" s="8"/>
      <c r="AA190" s="8"/>
      <c r="AB190" s="8"/>
      <c r="AC190" s="8"/>
    </row>
    <row r="191" ht="4.5" customHeight="1" hidden="1" spans="1:29"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ht="13.5" customHeight="1" hidden="1" spans="1:29" x14ac:dyDescent="0.25">
      <c r="A192" s="257" t="s">
        <v>3</v>
      </c>
      <c r="B192" s="8"/>
      <c r="C192" s="102" t="s">
        <v>999</v>
      </c>
      <c r="D192" s="103"/>
      <c r="E192" s="103"/>
      <c r="F192" s="103"/>
      <c r="G192" s="103"/>
      <c r="H192" s="103"/>
      <c r="I192" s="103"/>
      <c r="J192" s="103"/>
      <c r="K192" s="103"/>
      <c r="L192" s="103"/>
      <c r="M192" s="103"/>
      <c r="N192" s="103"/>
      <c r="O192" s="103"/>
      <c r="P192" s="103"/>
      <c r="Q192" s="103"/>
      <c r="R192" s="103"/>
      <c r="S192" s="103"/>
      <c r="T192" s="257" t="s">
        <v>3</v>
      </c>
      <c r="U192" s="8"/>
      <c r="V192" s="8"/>
      <c r="W192" s="8"/>
      <c r="X192" s="8"/>
      <c r="Y192" s="8"/>
      <c r="Z192" s="8"/>
      <c r="AA192" s="8"/>
      <c r="AB192" s="8"/>
      <c r="AC192" s="8"/>
    </row>
    <row r="193" ht="4.5" customHeight="1" hidden="1" spans="1:29"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ht="13.5" customHeight="1" hidden="1" spans="1:29" x14ac:dyDescent="0.25">
      <c r="A194" s="8"/>
      <c r="B194" s="8"/>
      <c r="C194" s="8"/>
      <c r="D194" s="83" t="s">
        <v>957</v>
      </c>
      <c r="E194" s="14"/>
      <c r="F194" s="15"/>
      <c r="G194" s="8"/>
      <c r="H194" s="83" t="s">
        <v>958</v>
      </c>
      <c r="I194" s="14"/>
      <c r="J194" s="15"/>
      <c r="K194" s="8"/>
      <c r="L194" s="8"/>
      <c r="M194" s="83" t="s">
        <v>137</v>
      </c>
      <c r="N194" s="14"/>
      <c r="O194" s="15"/>
      <c r="P194" s="8"/>
      <c r="Q194" s="83" t="s">
        <v>959</v>
      </c>
      <c r="R194" s="14"/>
      <c r="S194" s="14"/>
      <c r="T194" s="180"/>
      <c r="U194" s="8"/>
      <c r="V194" s="8"/>
      <c r="W194" s="8"/>
      <c r="X194" s="8"/>
      <c r="Y194" s="8"/>
      <c r="Z194" s="8"/>
      <c r="AA194" s="8"/>
      <c r="AB194" s="8"/>
      <c r="AC194" s="8"/>
    </row>
    <row r="195" ht="4.5" customHeight="1" hidden="1" spans="1:29" x14ac:dyDescent="0.25">
      <c r="A195" s="8"/>
      <c r="B195" s="8"/>
      <c r="C195" s="8"/>
      <c r="D195" s="182"/>
      <c r="E195" s="123"/>
      <c r="F195" s="276"/>
      <c r="G195" s="8"/>
      <c r="H195" s="182"/>
      <c r="I195" s="123"/>
      <c r="J195" s="276"/>
      <c r="K195" s="8"/>
      <c r="L195" s="8"/>
      <c r="M195" s="182"/>
      <c r="N195" s="123"/>
      <c r="O195" s="276"/>
      <c r="P195" s="8"/>
      <c r="Q195" s="182"/>
      <c r="R195" s="123"/>
      <c r="S195" s="123"/>
      <c r="T195" s="180"/>
      <c r="U195" s="8"/>
      <c r="V195" s="8"/>
      <c r="W195" s="8"/>
      <c r="X195" s="8"/>
      <c r="Y195" s="8"/>
      <c r="Z195" s="8"/>
      <c r="AA195" s="8"/>
      <c r="AB195" s="8"/>
      <c r="AC195" s="8"/>
    </row>
    <row r="196" ht="13.5" customHeight="1" hidden="1" spans="1:29" x14ac:dyDescent="0.25">
      <c r="A196" s="8"/>
      <c r="B196" s="8"/>
      <c r="C196" s="8"/>
      <c r="D196" s="180" t="s">
        <v>960</v>
      </c>
      <c r="E196" s="8"/>
      <c r="F196" s="844">
        <f>$D$11</f>
        <v>29.9280446457396</v>
      </c>
      <c r="G196" s="8"/>
      <c r="H196" s="852" t="s">
        <v>1000</v>
      </c>
      <c r="I196" s="8"/>
      <c r="J196" s="844">
        <f t="array" ref="J196">INDEX(Company_Cyclical_Multiples_Data,MATCH(CONCATENATE($G$220," ",$G$221),'Multiples Data'!$C$14:$C$26,0),MATCH(CONCATENATE(Valuation!$G$222," P/E"),'Multiples Data'!$C$14:$H$14,0))</f>
        <v>28.58681939089028</v>
      </c>
      <c r="K196" s="8"/>
      <c r="L196" s="8"/>
      <c r="M196" s="180" t="s">
        <v>960</v>
      </c>
      <c r="N196" s="8"/>
      <c r="O196" s="844">
        <f>$D$12</f>
        <v>14.5160559134403</v>
      </c>
      <c r="P196" s="8"/>
      <c r="Q196" s="852" t="s">
        <v>1000</v>
      </c>
      <c r="R196" s="8"/>
      <c r="S196" s="844">
        <f t="array" ref="S196">INDEX(Company_Cyclical_Multiples_Data,MATCH(CONCATENATE($G$220," ",$G$221),'Multiples Data'!$C$14:$C$26,0),MATCH(CONCATENATE(Valuation!$G$222," EV/EBITDA"),'Multiples Data'!$C$14:$H$14,0))</f>
        <v>13.691273230062675</v>
      </c>
      <c r="T196" s="180"/>
      <c r="U196" s="8"/>
      <c r="V196" s="8"/>
      <c r="W196" s="8"/>
      <c r="X196" s="8"/>
      <c r="Y196" s="8"/>
      <c r="Z196" s="8"/>
      <c r="AA196" s="8"/>
      <c r="AB196" s="8"/>
      <c r="AC196" s="8"/>
    </row>
    <row r="197" ht="13.5" customHeight="1" hidden="1" spans="1:29" x14ac:dyDescent="0.25">
      <c r="A197" s="8"/>
      <c r="B197" s="8"/>
      <c r="C197" s="8"/>
      <c r="D197" s="852" t="s">
        <v>1001</v>
      </c>
      <c r="E197" s="8"/>
      <c r="F197" s="844">
        <f>INDEX(
  Company_Cyclical_Multiples_Data,
  MATCH($G$220 &amp; " " &amp; $G$221, 'Multiples Data'!$C$14:$C$26, 0),
  MATCH(Valuation!$G$222 &amp; " P/E", 'Multiples Data'!$C$14:$H$14, 0)
)</f>
        <v>28.58681939089028</v>
      </c>
      <c r="G197" s="8"/>
      <c r="H197" s="852" t="s">
        <v>1002</v>
      </c>
      <c r="I197" s="8"/>
      <c r="J197" s="844">
        <f>INDEX($J$220:$P$222,2,MATCH($G$223,$J$220:$P$220,0))</f>
        <v>44.44248258288358</v>
      </c>
      <c r="K197" s="8"/>
      <c r="L197" s="8"/>
      <c r="M197" s="180" t="s">
        <v>1001</v>
      </c>
      <c r="N197" s="8"/>
      <c r="O197" s="844">
        <f t="array" ref="O197">INDEX(Company_Cyclical_Multiples_Data,MATCH(CONCATENATE($G$220," ",$G$221),'Multiples Data'!$C$14:$C$26,0),MATCH(CONCATENATE(Valuation!$G$222," EV/EBITDA"),'Multiples Data'!$C$14:$H$14,0))</f>
        <v>13.691273230062675</v>
      </c>
      <c r="P197" s="8"/>
      <c r="Q197" s="852" t="s">
        <v>1002</v>
      </c>
      <c r="R197" s="8"/>
      <c r="S197" s="844">
        <f t="array" ref="S197">INDEX($J$220:$P$222,3,MATCH($G$223,$J$220:$P$220,0))</f>
        <v>15.847376529395666</v>
      </c>
      <c r="T197" s="180"/>
      <c r="U197" s="8"/>
      <c r="V197" s="8"/>
      <c r="W197" s="8"/>
      <c r="X197" s="8"/>
      <c r="Y197" s="8"/>
      <c r="Z197" s="8"/>
      <c r="AA197" s="8"/>
      <c r="AB197" s="8"/>
      <c r="AC197" s="8"/>
    </row>
    <row r="198" ht="13.5" customHeight="1" hidden="1" spans="1:29" x14ac:dyDescent="0.25">
      <c r="A198" s="8"/>
      <c r="B198" s="8"/>
      <c r="C198" s="8"/>
      <c r="D198" s="300" t="s">
        <v>964</v>
      </c>
      <c r="E198" s="296"/>
      <c r="F198" s="846">
        <f>F196/F197-1</f>
        <v>0.04691761040323095</v>
      </c>
      <c r="G198" s="8"/>
      <c r="H198" s="300" t="s">
        <v>965</v>
      </c>
      <c r="I198" s="8"/>
      <c r="J198" s="849">
        <f>J196/J197-1</f>
        <v>-0.3567681702394342</v>
      </c>
      <c r="K198" s="8"/>
      <c r="L198" s="8"/>
      <c r="M198" s="300" t="s">
        <v>964</v>
      </c>
      <c r="N198" s="296"/>
      <c r="O198" s="846">
        <f>O196/O197-1</f>
        <v>0.06024148883148461</v>
      </c>
      <c r="P198" s="8"/>
      <c r="Q198" s="300" t="s">
        <v>965</v>
      </c>
      <c r="R198" s="8"/>
      <c r="S198" s="846">
        <f>S196/S197-1</f>
        <v>-0.1360542734208141</v>
      </c>
      <c r="T198" s="180"/>
      <c r="U198" s="8"/>
      <c r="V198" s="8"/>
      <c r="W198" s="8"/>
      <c r="X198" s="8"/>
      <c r="Y198" s="8"/>
      <c r="Z198" s="8"/>
      <c r="AA198" s="8"/>
      <c r="AB198" s="8"/>
      <c r="AC198" s="8"/>
    </row>
    <row r="199" ht="13.5" customHeight="1" hidden="1" spans="1:29" x14ac:dyDescent="0.25">
      <c r="A199" s="8"/>
      <c r="B199" s="8"/>
      <c r="C199" s="8"/>
      <c r="D199" s="300" t="s">
        <v>966</v>
      </c>
      <c r="E199" s="296"/>
      <c r="F199" s="850">
        <v>0</v>
      </c>
      <c r="G199" s="8"/>
      <c r="H199" s="180" t="s">
        <v>967</v>
      </c>
      <c r="I199" s="8"/>
      <c r="J199" s="844">
        <f>IF($G$223=$K$220,$E$11,IF($G$223=$N$220,$E$16,IF($G$223=$P$220,$E$21,"N/A")))</f>
        <v>44.00713824715302</v>
      </c>
      <c r="K199" s="8"/>
      <c r="L199" s="8"/>
      <c r="M199" s="300" t="s">
        <v>966</v>
      </c>
      <c r="N199" s="296"/>
      <c r="O199" s="850">
        <v>0</v>
      </c>
      <c r="P199" s="8"/>
      <c r="Q199" s="180" t="s">
        <v>967</v>
      </c>
      <c r="R199" s="8"/>
      <c r="S199" s="844">
        <f>IF($G$223=$K$220,$E$12,IF($G$223=$N$220,$E$17,IF($G$223=$P$220,$E$22,"N/A")))</f>
        <v>14.46947106879492</v>
      </c>
      <c r="T199" s="180"/>
      <c r="U199" s="8"/>
      <c r="V199" s="8"/>
      <c r="W199" s="8"/>
      <c r="X199" s="8"/>
      <c r="Y199" s="8"/>
      <c r="Z199" s="8"/>
      <c r="AA199" s="8"/>
      <c r="AB199" s="8"/>
      <c r="AC199" s="8"/>
    </row>
    <row r="200" ht="13.5" customHeight="1" hidden="1" spans="1:29" x14ac:dyDescent="0.25">
      <c r="A200" s="8"/>
      <c r="B200" s="8"/>
      <c r="C200" s="8"/>
      <c r="D200" s="180"/>
      <c r="E200" s="8"/>
      <c r="F200" s="181"/>
      <c r="G200" s="8"/>
      <c r="H200" s="180"/>
      <c r="I200" s="8"/>
      <c r="J200" s="181"/>
      <c r="K200" s="8"/>
      <c r="L200" s="8"/>
      <c r="M200" s="180"/>
      <c r="N200" s="8"/>
      <c r="O200" s="181"/>
      <c r="P200" s="8"/>
      <c r="Q200" s="180"/>
      <c r="R200" s="8"/>
      <c r="S200" s="181"/>
      <c r="T200" s="180"/>
      <c r="U200" s="8"/>
      <c r="V200" s="8"/>
      <c r="W200" s="8"/>
      <c r="X200" s="8"/>
      <c r="Y200" s="8"/>
      <c r="Z200" s="8"/>
      <c r="AA200" s="8"/>
      <c r="AB200" s="8"/>
      <c r="AC200" s="8"/>
    </row>
    <row r="201" ht="13.5" customHeight="1" hidden="1" spans="1:29" x14ac:dyDescent="0.25">
      <c r="A201" s="8"/>
      <c r="B201" s="8"/>
      <c r="C201" s="8"/>
      <c r="D201" s="180" t="s">
        <v>968</v>
      </c>
      <c r="E201" s="8"/>
      <c r="F201" s="844">
        <f>F197*(1+F199)</f>
        <v>28.58681939089028</v>
      </c>
      <c r="G201" s="8"/>
      <c r="H201" s="180" t="s">
        <v>968</v>
      </c>
      <c r="I201" s="8"/>
      <c r="J201" s="844">
        <f>J199*(1+J198)</f>
        <v>28.30679205724242</v>
      </c>
      <c r="K201" s="8"/>
      <c r="L201" s="8"/>
      <c r="M201" s="180" t="s">
        <v>968</v>
      </c>
      <c r="N201" s="8"/>
      <c r="O201" s="844">
        <f>O197*(1+O199)</f>
        <v>13.691273230062675</v>
      </c>
      <c r="P201" s="8"/>
      <c r="Q201" s="180" t="s">
        <v>968</v>
      </c>
      <c r="R201" s="8"/>
      <c r="S201" s="844">
        <f>S199*(1+S198)</f>
        <v>12.500837695746537</v>
      </c>
      <c r="T201" s="180"/>
      <c r="U201" s="8"/>
      <c r="V201" s="8"/>
      <c r="W201" s="8"/>
      <c r="X201" s="8"/>
      <c r="Y201" s="8"/>
      <c r="Z201" s="8"/>
      <c r="AA201" s="8"/>
      <c r="AB201" s="8"/>
      <c r="AC201" s="8"/>
    </row>
    <row r="202" ht="13.5" customHeight="1" hidden="1" spans="1:29" x14ac:dyDescent="0.25">
      <c r="A202" s="8"/>
      <c r="B202" s="8"/>
      <c r="C202" s="8"/>
      <c r="D202" s="180" t="s">
        <v>969</v>
      </c>
      <c r="E202" s="8"/>
      <c r="F202" s="851" t="e">
        <f>SUM(NTM_EPS)</f>
        <v>#DIV/0!</v>
      </c>
      <c r="G202" s="8"/>
      <c r="H202" s="180" t="s">
        <v>969</v>
      </c>
      <c r="I202" s="8"/>
      <c r="J202" s="851" t="e">
        <f>SUM(NTM_EPS)</f>
        <v>#DIV/0!</v>
      </c>
      <c r="K202" s="8"/>
      <c r="L202" s="8"/>
      <c r="M202" s="852" t="s">
        <v>970</v>
      </c>
      <c r="N202" s="8"/>
      <c r="O202" s="853">
        <f>SUM(NTM_EBITDA)</f>
        <v>5782.301040597087</v>
      </c>
      <c r="P202" s="8"/>
      <c r="Q202" s="180" t="s">
        <v>970</v>
      </c>
      <c r="R202" s="8"/>
      <c r="S202" s="853">
        <f>SUM(NTM_EBITDA)</f>
        <v>5782.301040597087</v>
      </c>
      <c r="T202" s="180"/>
      <c r="U202" s="8"/>
      <c r="V202" s="8"/>
      <c r="W202" s="8"/>
      <c r="X202" s="8"/>
      <c r="Y202" s="8"/>
      <c r="Z202" s="8"/>
      <c r="AA202" s="8"/>
      <c r="AB202" s="8"/>
      <c r="AC202" s="8"/>
    </row>
    <row r="203" ht="13.5" customHeight="1" hidden="1" spans="1:29" x14ac:dyDescent="0.25">
      <c r="A203" s="8"/>
      <c r="B203" s="8"/>
      <c r="C203" s="8"/>
      <c r="D203" s="180"/>
      <c r="E203" s="8"/>
      <c r="F203" s="854"/>
      <c r="G203" s="8"/>
      <c r="H203" s="180"/>
      <c r="I203" s="8"/>
      <c r="J203" s="854"/>
      <c r="K203" s="8"/>
      <c r="L203" s="8"/>
      <c r="M203" s="180" t="s">
        <v>971</v>
      </c>
      <c r="N203" s="8"/>
      <c r="O203" s="853">
        <f>O201*O202</f>
        <v>79167.06344529045</v>
      </c>
      <c r="P203" s="8"/>
      <c r="Q203" s="180" t="s">
        <v>971</v>
      </c>
      <c r="R203" s="8"/>
      <c r="S203" s="853">
        <f>S201*S202</f>
        <v>72283.6068164505</v>
      </c>
      <c r="T203" s="180"/>
      <c r="U203" s="8"/>
      <c r="V203" s="8"/>
      <c r="W203" s="8"/>
      <c r="X203" s="8"/>
      <c r="Y203" s="8"/>
      <c r="Z203" s="8"/>
      <c r="AA203" s="8"/>
      <c r="AB203" s="8"/>
      <c r="AC203" s="8"/>
    </row>
    <row r="204" ht="13.5" customHeight="1" hidden="1" spans="1:29" x14ac:dyDescent="0.25">
      <c r="A204" s="8"/>
      <c r="B204" s="8"/>
      <c r="C204" s="8"/>
      <c r="D204" s="180" t="s">
        <v>972</v>
      </c>
      <c r="E204" s="8"/>
      <c r="F204" s="851" t="e">
        <f>F201*F202</f>
        <v>#DIV/0!</v>
      </c>
      <c r="G204" s="8"/>
      <c r="H204" s="180" t="s">
        <v>972</v>
      </c>
      <c r="I204" s="8"/>
      <c r="J204" s="851" t="e">
        <f>J201*J202</f>
        <v>#DIV/0!</v>
      </c>
      <c r="K204" s="8"/>
      <c r="L204" s="8"/>
      <c r="M204" s="180"/>
      <c r="N204" s="8"/>
      <c r="O204" s="181"/>
      <c r="P204" s="8"/>
      <c r="Q204" s="180"/>
      <c r="R204" s="8"/>
      <c r="S204" s="8"/>
      <c r="T204" s="180"/>
      <c r="U204" s="8"/>
      <c r="V204" s="8"/>
      <c r="W204" s="8"/>
      <c r="X204" s="8"/>
      <c r="Y204" s="8"/>
      <c r="Z204" s="8"/>
      <c r="AA204" s="8"/>
      <c r="AB204" s="8"/>
      <c r="AC204" s="8"/>
    </row>
    <row r="205" ht="13.5" customHeight="1" hidden="1" spans="1:29" x14ac:dyDescent="0.25">
      <c r="A205" s="8"/>
      <c r="B205" s="8"/>
      <c r="C205" s="8"/>
      <c r="D205" s="304" t="s">
        <v>973</v>
      </c>
      <c r="E205" s="122"/>
      <c r="F205" s="804" t="e">
        <f>F204/Share_Price-1</f>
        <v>#DIV/0!</v>
      </c>
      <c r="G205" s="8"/>
      <c r="H205" s="304" t="s">
        <v>973</v>
      </c>
      <c r="I205" s="122"/>
      <c r="J205" s="804" t="e">
        <f>J204/Share_Price-1</f>
        <v>#DIV/0!</v>
      </c>
      <c r="K205" s="8"/>
      <c r="L205" s="8"/>
      <c r="M205" s="180" t="s">
        <v>974</v>
      </c>
      <c r="N205" s="8"/>
      <c r="O205" s="794">
        <f t="shared" ref="O205:O210" si="17">O127</f>
        <v>58.332247659647805</v>
      </c>
      <c r="P205" s="8"/>
      <c r="Q205" s="180" t="s">
        <v>974</v>
      </c>
      <c r="R205" s="8"/>
      <c r="S205" s="794">
        <f t="shared" ref="S205:S210" si="18">O205</f>
        <v>58.332247659647805</v>
      </c>
      <c r="T205" s="180"/>
      <c r="U205" s="8"/>
      <c r="V205" s="8"/>
      <c r="W205" s="8"/>
      <c r="X205" s="8"/>
      <c r="Y205" s="8"/>
      <c r="Z205" s="8"/>
      <c r="AA205" s="8"/>
      <c r="AB205" s="8"/>
      <c r="AC205" s="8"/>
    </row>
    <row r="206" ht="13.5" customHeight="1" hidden="1" spans="1:29" x14ac:dyDescent="0.25">
      <c r="A206" s="8"/>
      <c r="B206" s="8"/>
      <c r="C206" s="8"/>
      <c r="D206" s="8"/>
      <c r="E206" s="8"/>
      <c r="F206" s="8"/>
      <c r="G206" s="8"/>
      <c r="H206" s="8"/>
      <c r="I206" s="8"/>
      <c r="J206" s="8"/>
      <c r="K206" s="8"/>
      <c r="L206" s="8"/>
      <c r="M206" s="180" t="s">
        <v>975</v>
      </c>
      <c r="N206" s="8"/>
      <c r="O206" s="794">
        <f t="shared" si="17"/>
        <v>0</v>
      </c>
      <c r="P206" s="8"/>
      <c r="Q206" s="180" t="s">
        <v>975</v>
      </c>
      <c r="R206" s="8"/>
      <c r="S206" s="794">
        <f t="shared" si="18"/>
        <v>0</v>
      </c>
      <c r="T206" s="180"/>
      <c r="U206" s="8"/>
      <c r="V206" s="8"/>
      <c r="W206" s="8"/>
      <c r="X206" s="8"/>
      <c r="Y206" s="8"/>
      <c r="Z206" s="8"/>
      <c r="AA206" s="8"/>
      <c r="AB206" s="8"/>
      <c r="AC206" s="8"/>
    </row>
    <row r="207" ht="13.5" customHeight="1" hidden="1" spans="1:29" x14ac:dyDescent="0.25">
      <c r="A207" s="8"/>
      <c r="B207" s="8"/>
      <c r="C207" s="8"/>
      <c r="D207" s="8"/>
      <c r="E207" s="8"/>
      <c r="F207" s="8"/>
      <c r="G207" s="8"/>
      <c r="H207" s="8"/>
      <c r="I207" s="8"/>
      <c r="J207" s="8"/>
      <c r="K207" s="8"/>
      <c r="L207" s="8"/>
      <c r="M207" s="180" t="s">
        <v>976</v>
      </c>
      <c r="N207" s="8"/>
      <c r="O207" s="794">
        <f t="shared" si="17"/>
        <v>-12747.758563460919</v>
      </c>
      <c r="P207" s="8"/>
      <c r="Q207" s="180" t="s">
        <v>976</v>
      </c>
      <c r="R207" s="8"/>
      <c r="S207" s="794">
        <f t="shared" si="18"/>
        <v>-12747.758563460919</v>
      </c>
      <c r="T207" s="180"/>
      <c r="U207" s="8"/>
      <c r="V207" s="8"/>
      <c r="W207" s="8"/>
      <c r="X207" s="8"/>
      <c r="Y207" s="8"/>
      <c r="Z207" s="8"/>
      <c r="AA207" s="8"/>
      <c r="AB207" s="8"/>
      <c r="AC207" s="8"/>
    </row>
    <row r="208" ht="13.5" customHeight="1" hidden="1" spans="1:29" x14ac:dyDescent="0.25">
      <c r="A208" s="8"/>
      <c r="B208" s="8"/>
      <c r="C208" s="8"/>
      <c r="D208" s="8"/>
      <c r="E208" s="8"/>
      <c r="F208" s="8"/>
      <c r="G208" s="8"/>
      <c r="H208" s="8"/>
      <c r="I208" s="8"/>
      <c r="J208" s="8"/>
      <c r="K208" s="8"/>
      <c r="L208" s="8"/>
      <c r="M208" s="180" t="s">
        <v>979</v>
      </c>
      <c r="N208" s="8"/>
      <c r="O208" s="794">
        <f t="shared" si="17"/>
        <v>0</v>
      </c>
      <c r="P208" s="8"/>
      <c r="Q208" s="180" t="s">
        <v>979</v>
      </c>
      <c r="R208" s="8"/>
      <c r="S208" s="794">
        <f t="shared" si="18"/>
        <v>0</v>
      </c>
      <c r="T208" s="180"/>
      <c r="U208" s="8"/>
      <c r="V208" s="8"/>
      <c r="W208" s="8"/>
      <c r="X208" s="8"/>
      <c r="Y208" s="8"/>
      <c r="Z208" s="8"/>
      <c r="AA208" s="8"/>
      <c r="AB208" s="8"/>
      <c r="AC208" s="8"/>
    </row>
    <row r="209" ht="13.5" customHeight="1" hidden="1" spans="1:29" x14ac:dyDescent="0.25">
      <c r="A209" s="8"/>
      <c r="B209" s="747"/>
      <c r="C209" s="675"/>
      <c r="D209" s="8"/>
      <c r="E209" s="8"/>
      <c r="F209" s="8"/>
      <c r="G209" s="8"/>
      <c r="H209" s="8"/>
      <c r="I209" s="8"/>
      <c r="J209" s="8"/>
      <c r="K209" s="8"/>
      <c r="L209" s="8"/>
      <c r="M209" s="180" t="s">
        <v>981</v>
      </c>
      <c r="N209" s="8"/>
      <c r="O209" s="794">
        <f t="shared" si="17"/>
        <v>0</v>
      </c>
      <c r="P209" s="8"/>
      <c r="Q209" s="180" t="s">
        <v>981</v>
      </c>
      <c r="R209" s="8"/>
      <c r="S209" s="794">
        <f t="shared" si="18"/>
        <v>0</v>
      </c>
      <c r="T209" s="180"/>
      <c r="U209" s="8"/>
      <c r="V209" s="8"/>
      <c r="W209" s="8"/>
      <c r="X209" s="8"/>
      <c r="Y209" s="8"/>
      <c r="Z209" s="8"/>
      <c r="AA209" s="8"/>
      <c r="AB209" s="8"/>
      <c r="AC209" s="8"/>
    </row>
    <row r="210" ht="13.5" customHeight="1" hidden="1" spans="1:29" x14ac:dyDescent="0.25">
      <c r="A210" s="8"/>
      <c r="B210" s="747"/>
      <c r="C210" s="8"/>
      <c r="D210" s="75"/>
      <c r="E210" s="75"/>
      <c r="F210" s="340"/>
      <c r="G210" s="340"/>
      <c r="H210" s="340"/>
      <c r="I210" s="340"/>
      <c r="J210" s="340"/>
      <c r="K210" s="8"/>
      <c r="L210" s="8"/>
      <c r="M210" s="180" t="s">
        <v>982</v>
      </c>
      <c r="N210" s="122"/>
      <c r="O210" s="867">
        <f t="shared" si="17"/>
        <v>0</v>
      </c>
      <c r="P210" s="8"/>
      <c r="Q210" s="184" t="s">
        <v>982</v>
      </c>
      <c r="R210" s="122"/>
      <c r="S210" s="867">
        <f t="shared" si="18"/>
        <v>0</v>
      </c>
      <c r="T210" s="180"/>
      <c r="U210" s="8"/>
      <c r="V210" s="8"/>
      <c r="W210" s="8"/>
      <c r="X210" s="8"/>
      <c r="Y210" s="8"/>
      <c r="Z210" s="8"/>
      <c r="AA210" s="8"/>
      <c r="AB210" s="8"/>
      <c r="AC210" s="8"/>
    </row>
    <row r="211" ht="13.5" customHeight="1" hidden="1" spans="1:29" x14ac:dyDescent="0.25">
      <c r="A211" s="8"/>
      <c r="B211" s="747"/>
      <c r="C211" s="75"/>
      <c r="D211" s="753"/>
      <c r="E211" s="753"/>
      <c r="F211" s="753"/>
      <c r="G211" s="753"/>
      <c r="H211" s="753"/>
      <c r="I211" s="753"/>
      <c r="J211" s="753"/>
      <c r="K211" s="8"/>
      <c r="L211" s="8"/>
      <c r="M211" s="182"/>
      <c r="N211" s="8"/>
      <c r="O211" s="181"/>
      <c r="P211" s="8"/>
      <c r="Q211" s="180"/>
      <c r="R211" s="8"/>
      <c r="S211" s="8"/>
      <c r="T211" s="180"/>
      <c r="U211" s="8"/>
      <c r="V211" s="8"/>
      <c r="W211" s="8"/>
      <c r="X211" s="8"/>
      <c r="Y211" s="8"/>
      <c r="Z211" s="8"/>
      <c r="AA211" s="8"/>
      <c r="AB211" s="8"/>
      <c r="AC211" s="8"/>
    </row>
    <row r="212" ht="13.5" customHeight="1" hidden="1" spans="1:29" x14ac:dyDescent="0.25">
      <c r="A212" s="8"/>
      <c r="B212" s="8"/>
      <c r="C212" s="75"/>
      <c r="D212" s="753"/>
      <c r="E212" s="753"/>
      <c r="F212" s="753"/>
      <c r="G212" s="753"/>
      <c r="H212" s="753"/>
      <c r="I212" s="753"/>
      <c r="J212" s="753"/>
      <c r="K212" s="8"/>
      <c r="L212" s="8"/>
      <c r="M212" s="180" t="s">
        <v>983</v>
      </c>
      <c r="N212" s="8"/>
      <c r="O212" s="853">
        <f>SUM(O203:O210)</f>
        <v>66476.63712948919</v>
      </c>
      <c r="P212" s="8"/>
      <c r="Q212" s="180" t="s">
        <v>983</v>
      </c>
      <c r="R212" s="8"/>
      <c r="S212" s="853">
        <f>SUM(S203:S210)</f>
        <v>59593.18050064923</v>
      </c>
      <c r="T212" s="180"/>
      <c r="U212" s="8"/>
      <c r="V212" s="8"/>
      <c r="W212" s="8"/>
      <c r="X212" s="8"/>
      <c r="Y212" s="8"/>
      <c r="Z212" s="8"/>
      <c r="AA212" s="8"/>
      <c r="AB212" s="8"/>
      <c r="AC212" s="8"/>
    </row>
    <row r="213" ht="13.5" customHeight="1" hidden="1" spans="1:29" x14ac:dyDescent="0.25">
      <c r="A213" s="8"/>
      <c r="B213" s="8"/>
      <c r="C213" s="8"/>
      <c r="D213" s="8"/>
      <c r="E213" s="8"/>
      <c r="F213" s="8"/>
      <c r="G213" s="8"/>
      <c r="H213" s="8"/>
      <c r="I213" s="8"/>
      <c r="J213" s="8"/>
      <c r="K213" s="8"/>
      <c r="L213" s="8"/>
      <c r="M213" s="180" t="s">
        <v>415</v>
      </c>
      <c r="N213" s="8"/>
      <c r="O213" s="884">
        <f>Diluted_Shares</f>
        <v>0</v>
      </c>
      <c r="P213" s="8"/>
      <c r="Q213" s="180" t="s">
        <v>415</v>
      </c>
      <c r="R213" s="8"/>
      <c r="S213" s="885">
        <f>O213</f>
        <v>0</v>
      </c>
      <c r="T213" s="180"/>
      <c r="U213" s="8"/>
      <c r="V213" s="8"/>
      <c r="W213" s="8"/>
      <c r="X213" s="8"/>
      <c r="Y213" s="8"/>
      <c r="Z213" s="8"/>
      <c r="AA213" s="8"/>
      <c r="AB213" s="8"/>
      <c r="AC213" s="8"/>
    </row>
    <row r="214" ht="13.5" customHeight="1" hidden="1" spans="1:29" x14ac:dyDescent="0.25">
      <c r="A214" s="8"/>
      <c r="B214" s="8"/>
      <c r="C214" s="675"/>
      <c r="D214" s="8"/>
      <c r="E214" s="8"/>
      <c r="F214" s="8"/>
      <c r="G214" s="8"/>
      <c r="H214" s="8"/>
      <c r="I214" s="8"/>
      <c r="J214" s="8"/>
      <c r="K214" s="8"/>
      <c r="L214" s="8"/>
      <c r="M214" s="180"/>
      <c r="N214" s="8"/>
      <c r="O214" s="181"/>
      <c r="P214" s="8"/>
      <c r="Q214" s="180"/>
      <c r="R214" s="8"/>
      <c r="S214" s="181"/>
      <c r="T214" s="180"/>
      <c r="U214" s="8"/>
      <c r="V214" s="8"/>
      <c r="W214" s="8"/>
      <c r="X214" s="8"/>
      <c r="Y214" s="8"/>
      <c r="Z214" s="8"/>
      <c r="AA214" s="8"/>
      <c r="AB214" s="8"/>
      <c r="AC214" s="8"/>
    </row>
    <row r="215" ht="13.5" customHeight="1" hidden="1" spans="1:29" x14ac:dyDescent="0.25">
      <c r="A215" s="8"/>
      <c r="B215" s="8"/>
      <c r="C215" s="8"/>
      <c r="D215" s="75"/>
      <c r="E215" s="75"/>
      <c r="F215" s="75"/>
      <c r="G215" s="75"/>
      <c r="H215" s="75"/>
      <c r="I215" s="75"/>
      <c r="J215" s="75"/>
      <c r="K215" s="8"/>
      <c r="L215" s="8"/>
      <c r="M215" s="180" t="s">
        <v>972</v>
      </c>
      <c r="N215" s="8"/>
      <c r="O215" s="853">
        <f>O212/O213</f>
        <v>212.86147015526475</v>
      </c>
      <c r="P215" s="8"/>
      <c r="Q215" s="180" t="s">
        <v>972</v>
      </c>
      <c r="R215" s="8"/>
      <c r="S215" s="853">
        <f>S212/S213</f>
        <v>190.8203025957388</v>
      </c>
      <c r="T215" s="180"/>
      <c r="U215" s="8"/>
      <c r="V215" s="8"/>
      <c r="W215" s="8"/>
      <c r="X215" s="8"/>
      <c r="Y215" s="8"/>
      <c r="Z215" s="8"/>
      <c r="AA215" s="8"/>
      <c r="AB215" s="8"/>
      <c r="AC215" s="8"/>
    </row>
    <row r="216" ht="13.5" customHeight="1" hidden="1" spans="1:29" x14ac:dyDescent="0.25">
      <c r="A216" s="8"/>
      <c r="B216" s="8"/>
      <c r="C216" s="75"/>
      <c r="D216" s="753"/>
      <c r="E216" s="753"/>
      <c r="F216" s="753"/>
      <c r="G216" s="753"/>
      <c r="H216" s="753"/>
      <c r="I216" s="753"/>
      <c r="J216" s="753"/>
      <c r="K216" s="8"/>
      <c r="L216" s="8"/>
      <c r="M216" s="304" t="s">
        <v>973</v>
      </c>
      <c r="N216" s="122"/>
      <c r="O216" s="804">
        <f>O215/Share_Price-1</f>
        <v>0.030556621424665975</v>
      </c>
      <c r="P216" s="8"/>
      <c r="Q216" s="304" t="s">
        <v>973</v>
      </c>
      <c r="R216" s="122"/>
      <c r="S216" s="804">
        <f>S215/Share_Price-1</f>
        <v>-0.07615442945660233</v>
      </c>
      <c r="T216" s="180"/>
      <c r="U216" s="8"/>
      <c r="V216" s="8"/>
      <c r="W216" s="8"/>
      <c r="X216" s="8"/>
      <c r="Y216" s="8"/>
      <c r="Z216" s="8"/>
      <c r="AA216" s="8"/>
      <c r="AB216" s="8"/>
      <c r="AC216" s="8"/>
    </row>
    <row r="217" ht="4.5" customHeight="1" hidden="1" spans="1:29"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ht="13.5" customHeight="1" hidden="1" spans="1:29" x14ac:dyDescent="0.25">
      <c r="A218" s="257" t="s">
        <v>3</v>
      </c>
      <c r="B218" s="8"/>
      <c r="C218" s="729" t="s">
        <v>43</v>
      </c>
      <c r="D218" s="14"/>
      <c r="E218" s="14"/>
      <c r="F218" s="14"/>
      <c r="G218" s="14"/>
      <c r="H218" s="14"/>
      <c r="I218" s="14"/>
      <c r="J218" s="14"/>
      <c r="K218" s="14"/>
      <c r="L218" s="14"/>
      <c r="M218" s="14"/>
      <c r="N218" s="14"/>
      <c r="O218" s="14"/>
      <c r="P218" s="14"/>
      <c r="Q218" s="14"/>
      <c r="R218" s="14"/>
      <c r="S218" s="15"/>
      <c r="T218" s="257" t="s">
        <v>3</v>
      </c>
      <c r="U218" s="8"/>
      <c r="V218" s="8"/>
      <c r="W218" s="8"/>
      <c r="X218" s="8"/>
      <c r="Y218" s="8"/>
      <c r="Z218" s="8"/>
      <c r="AA218" s="8"/>
      <c r="AB218" s="8"/>
      <c r="AC218" s="8"/>
    </row>
    <row r="219" ht="4.5" customHeight="1" hidden="1" spans="1:29"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ht="13.5" customHeight="1" hidden="1" spans="1:29" x14ac:dyDescent="0.25">
      <c r="A220" s="8"/>
      <c r="B220" s="8"/>
      <c r="C220" s="8" t="s">
        <v>1003</v>
      </c>
      <c r="D220" s="8"/>
      <c r="E220" s="8"/>
      <c r="F220" s="8"/>
      <c r="G220" s="35" t="s">
        <v>1004</v>
      </c>
      <c r="H220" s="40"/>
      <c r="I220" s="8"/>
      <c r="J220" s="8"/>
      <c r="K220" s="102" t="str">
        <f>$C$9</f>
        <v>Primary Peer Group</v>
      </c>
      <c r="L220" s="102"/>
      <c r="M220" s="103"/>
      <c r="N220" s="102">
        <f>$C$14</f>
        <v>0</v>
      </c>
      <c r="O220" s="103"/>
      <c r="P220" s="102">
        <f>$C$19</f>
        <v>0</v>
      </c>
      <c r="Q220" s="103"/>
      <c r="R220" s="8"/>
      <c r="S220" s="8"/>
      <c r="T220" s="8"/>
      <c r="U220" s="8"/>
      <c r="V220" s="8"/>
      <c r="W220" s="8"/>
      <c r="X220" s="8"/>
      <c r="Y220" s="8"/>
      <c r="Z220" s="8"/>
      <c r="AA220" s="8"/>
      <c r="AB220" s="8"/>
      <c r="AC220" s="8"/>
    </row>
    <row r="221" ht="13.5" customHeight="1" hidden="1" spans="1:29" x14ac:dyDescent="0.25">
      <c r="A221" s="8"/>
      <c r="B221" s="8"/>
      <c r="C221" s="8" t="s">
        <v>1005</v>
      </c>
      <c r="D221" s="8"/>
      <c r="E221" s="8"/>
      <c r="F221" s="8"/>
      <c r="G221" s="35" t="s">
        <v>1006</v>
      </c>
      <c r="H221" s="8"/>
      <c r="I221" s="8"/>
      <c r="J221" s="75" t="s">
        <v>135</v>
      </c>
      <c r="K221" s="753">
        <f t="array" ref="K221">INDEX(Primary_Peer_Cyclical_Valuation_Data,MATCH(CONCATENATE(Cycle_Toggle," ",Cycle_Period_Toggle),'Multiples Data'!$C$36:$C$48,0),MATCH(CONCATENATE(Cyclical_LTM_NTM_Toggle," P/E"),'Multiples Data'!$C$36:$H$36,0))</f>
        <v>44.44248258288358</v>
      </c>
      <c r="L221" s="753"/>
      <c r="M221" s="57"/>
      <c r="N221" s="753" t="e">
        <f t="array" ref="N221">INDEX(PeerGroup2_Cyclical_Valuation_Data,MATCH(CONCATENATE(Cycle_Toggle," ",Cycle_Period_Toggle),'Multiples Data'!$C$58:$C$70,0),MATCH(CONCATENATE(Cyclical_LTM_NTM_Toggle," P/E"),'Multiples Data'!$C$58:$H$58,0))</f>
        <v>#N/A</v>
      </c>
      <c r="O221" s="57"/>
      <c r="P221" s="753" t="e">
        <f t="array" ref="P221">INDEX(PeerGroup3_Cyclical_Valuation_Data,MATCH(CONCATENATE(Cycle_Toggle," ",Cycle_Period_Toggle),'Multiples Data'!$C$80:$C$92,0),MATCH(CONCATENATE(Cyclical_LTM_NTM_Toggle," P/E"),'Multiples Data'!$C$80:$H$80,0))</f>
        <v>#N/A</v>
      </c>
      <c r="Q221" s="57"/>
      <c r="R221" s="8"/>
      <c r="S221" s="8"/>
      <c r="T221" s="8"/>
      <c r="U221" s="8"/>
      <c r="V221" s="8"/>
      <c r="W221" s="8"/>
      <c r="X221" s="8"/>
      <c r="Y221" s="8"/>
      <c r="Z221" s="8"/>
      <c r="AA221" s="8"/>
      <c r="AB221" s="8"/>
      <c r="AC221" s="8"/>
    </row>
    <row r="222" ht="13.5" customHeight="1" hidden="1" spans="1:29" x14ac:dyDescent="0.25">
      <c r="A222" s="8"/>
      <c r="B222" s="8"/>
      <c r="C222" s="8" t="s">
        <v>1007</v>
      </c>
      <c r="D222" s="8"/>
      <c r="E222" s="8"/>
      <c r="F222" s="8"/>
      <c r="G222" s="35" t="s">
        <v>604</v>
      </c>
      <c r="H222" s="40" t="b">
        <f>G222=$D$24</f>
        <v>0</v>
      </c>
      <c r="I222" s="8"/>
      <c r="J222" s="75" t="s">
        <v>137</v>
      </c>
      <c r="K222" s="753">
        <f t="array" ref="K222">INDEX(Primary_Peer_Cyclical_Valuation_Data,MATCH(CONCATENATE(Cycle_Toggle," ",Cycle_Period_Toggle),'Multiples Data'!$C$36:$C$48,0),MATCH(CONCATENATE(Cyclical_LTM_NTM_Toggle," EV/EBITDA"),'Multiples Data'!$C$36:$H$36,0))</f>
        <v>15.847376529395666</v>
      </c>
      <c r="L222" s="753"/>
      <c r="M222" s="57"/>
      <c r="N222" s="753" t="e">
        <f t="array" ref="N222">INDEX(PeerGroup2_Cyclical_Valuation_Data,MATCH(CONCATENATE(Cycle_Toggle," ",Cycle_Period_Toggle),'Multiples Data'!$C$58:$C$70,0),MATCH(CONCATENATE(Cyclical_LTM_NTM_Toggle," EV/EBITDA"),'Multiples Data'!$C$58:$H$58,0))</f>
        <v>#N/A</v>
      </c>
      <c r="O222" s="57"/>
      <c r="P222" s="753" t="e">
        <f t="array" ref="P222">INDEX(PeerGroup3_Cyclical_Valuation_Data,MATCH(CONCATENATE(Cycle_Toggle," ",Cycle_Period_Toggle),'Multiples Data'!$C$80:$C$92,0),MATCH(CONCATENATE(Cyclical_LTM_NTM_Toggle," EV/EBITDA"),'Multiples Data'!$C$80:$H$80,0))</f>
        <v>#N/A</v>
      </c>
      <c r="Q222" s="57"/>
      <c r="R222" s="8"/>
      <c r="S222" s="8"/>
      <c r="T222" s="8"/>
      <c r="U222" s="8"/>
      <c r="V222" s="8"/>
      <c r="W222" s="8"/>
      <c r="X222" s="8"/>
      <c r="Y222" s="8"/>
      <c r="Z222" s="8"/>
      <c r="AA222" s="8"/>
      <c r="AB222" s="8"/>
      <c r="AC222" s="8"/>
    </row>
    <row r="223" ht="13.5" customHeight="1" hidden="1" spans="1:29" x14ac:dyDescent="0.25">
      <c r="A223" s="8"/>
      <c r="B223" s="8"/>
      <c r="C223" s="8" t="s">
        <v>989</v>
      </c>
      <c r="D223" s="8"/>
      <c r="E223" s="8"/>
      <c r="F223" s="8"/>
      <c r="G223" s="35" t="s">
        <v>668</v>
      </c>
      <c r="H223" s="8"/>
      <c r="I223" s="8"/>
      <c r="J223" s="8"/>
      <c r="K223" s="8"/>
      <c r="L223" s="8"/>
      <c r="M223" s="8"/>
      <c r="N223" s="8"/>
      <c r="O223" s="8"/>
      <c r="P223" s="8"/>
      <c r="Q223" s="8"/>
      <c r="R223" s="8"/>
      <c r="S223" s="8"/>
      <c r="T223" s="8"/>
      <c r="U223" s="8"/>
      <c r="V223" s="8"/>
      <c r="W223" s="8"/>
      <c r="X223" s="8"/>
      <c r="Y223" s="8"/>
      <c r="Z223" s="8"/>
      <c r="AA223" s="8"/>
      <c r="AB223" s="8"/>
      <c r="AC223" s="8"/>
    </row>
    <row r="224" ht="4.5" customHeight="1" hidden="1" spans="1:29" x14ac:dyDescent="0.25">
      <c r="A224" s="8"/>
      <c r="B224" s="8"/>
      <c r="C224" s="8"/>
      <c r="D224" s="8"/>
      <c r="E224" s="8"/>
      <c r="F224" s="8"/>
      <c r="G224" s="35"/>
      <c r="H224" s="8"/>
      <c r="I224" s="8"/>
      <c r="J224" s="8"/>
      <c r="K224" s="8"/>
      <c r="L224" s="8"/>
      <c r="M224" s="8"/>
      <c r="N224" s="8"/>
      <c r="O224" s="8"/>
      <c r="P224" s="8"/>
      <c r="Q224" s="8"/>
      <c r="R224" s="8"/>
      <c r="S224" s="8"/>
      <c r="T224" s="8"/>
      <c r="U224" s="8"/>
      <c r="V224" s="8"/>
      <c r="W224" s="8"/>
      <c r="X224" s="8"/>
      <c r="Y224" s="8"/>
      <c r="Z224" s="8"/>
      <c r="AA224" s="8"/>
      <c r="AB224" s="8"/>
      <c r="AC224" s="8"/>
    </row>
    <row r="225" ht="13.5" customHeight="1" hidden="1" spans="1:29" x14ac:dyDescent="0.25">
      <c r="A225" s="257" t="s">
        <v>3</v>
      </c>
      <c r="B225" s="8"/>
      <c r="C225" s="729" t="s">
        <v>946</v>
      </c>
      <c r="D225" s="14"/>
      <c r="E225" s="14"/>
      <c r="F225" s="14"/>
      <c r="G225" s="14"/>
      <c r="H225" s="14"/>
      <c r="I225" s="14"/>
      <c r="J225" s="14"/>
      <c r="K225" s="14"/>
      <c r="L225" s="14"/>
      <c r="M225" s="14"/>
      <c r="N225" s="14"/>
      <c r="O225" s="14"/>
      <c r="P225" s="14"/>
      <c r="Q225" s="14"/>
      <c r="R225" s="14"/>
      <c r="S225" s="15"/>
      <c r="T225" s="257" t="s">
        <v>3</v>
      </c>
      <c r="U225" s="8"/>
      <c r="V225" s="8"/>
      <c r="W225" s="8"/>
      <c r="X225" s="8"/>
      <c r="Y225" s="8"/>
      <c r="Z225" s="8"/>
      <c r="AA225" s="8"/>
      <c r="AB225" s="8"/>
      <c r="AC225" s="8"/>
    </row>
    <row r="226" ht="4.5" customHeight="1" hidden="1" spans="1:29"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ht="13.5" customHeight="1" hidden="1" spans="1:29" x14ac:dyDescent="0.25">
      <c r="A227" s="8"/>
      <c r="B227" s="8"/>
      <c r="C227" s="8" t="s">
        <v>992</v>
      </c>
      <c r="D227" s="8"/>
      <c r="E227" s="805">
        <f>$F$201</f>
        <v>28.58681939089028</v>
      </c>
      <c r="F227" s="696">
        <f>E227-H237</f>
        <v>0</v>
      </c>
      <c r="G227" s="8"/>
      <c r="H227" s="8" t="s">
        <v>993</v>
      </c>
      <c r="I227" s="8"/>
      <c r="J227" s="8"/>
      <c r="K227" s="805">
        <f>$O$201</f>
        <v>13.691273230062675</v>
      </c>
      <c r="L227" s="806"/>
      <c r="M227" s="696">
        <f>K227-H253</f>
        <v>0</v>
      </c>
      <c r="N227" s="8"/>
      <c r="O227" s="7" t="s">
        <v>969</v>
      </c>
      <c r="P227" s="8"/>
      <c r="Q227" s="8"/>
      <c r="R227" s="873" t="e">
        <f>F202</f>
        <v>#DIV/0!</v>
      </c>
      <c r="S227" s="874" t="e">
        <f>R227-E240</f>
        <v>#DIV/0!</v>
      </c>
      <c r="T227" s="8"/>
      <c r="U227" s="8"/>
      <c r="V227" s="8"/>
      <c r="W227" s="8"/>
      <c r="X227" s="8"/>
      <c r="Y227" s="8"/>
      <c r="Z227" s="8"/>
      <c r="AA227" s="8"/>
      <c r="AB227" s="8"/>
      <c r="AC227" s="8"/>
    </row>
    <row r="228" ht="13.5" customHeight="1" hidden="1" spans="1:29" x14ac:dyDescent="0.25">
      <c r="A228" s="8"/>
      <c r="B228" s="8"/>
      <c r="C228" s="8" t="s">
        <v>950</v>
      </c>
      <c r="D228" s="8"/>
      <c r="E228" s="814">
        <v>1</v>
      </c>
      <c r="F228" s="876"/>
      <c r="G228" s="8"/>
      <c r="H228" s="8" t="s">
        <v>950</v>
      </c>
      <c r="I228" s="8"/>
      <c r="J228" s="8"/>
      <c r="K228" s="814">
        <v>1</v>
      </c>
      <c r="L228" s="886"/>
      <c r="M228" s="876"/>
      <c r="N228" s="8"/>
      <c r="O228" s="519" t="s">
        <v>994</v>
      </c>
      <c r="P228" s="8"/>
      <c r="Q228" s="8"/>
      <c r="R228" s="8"/>
      <c r="S228" s="874" t="e">
        <f>R227-E248</f>
        <v>#DIV/0!</v>
      </c>
      <c r="T228" s="8"/>
      <c r="U228" s="8"/>
      <c r="V228" s="8"/>
      <c r="W228" s="8"/>
      <c r="X228" s="8"/>
      <c r="Y228" s="8"/>
      <c r="Z228" s="8"/>
      <c r="AA228" s="8"/>
      <c r="AB228" s="8"/>
      <c r="AC228" s="8"/>
    </row>
    <row r="229" ht="13.5" customHeight="1" hidden="1" spans="1:29" x14ac:dyDescent="0.25">
      <c r="A229" s="8"/>
      <c r="B229" s="8"/>
      <c r="C229" s="8" t="s">
        <v>995</v>
      </c>
      <c r="D229" s="8"/>
      <c r="E229" s="815">
        <v>0.1</v>
      </c>
      <c r="F229" s="876"/>
      <c r="G229" s="8"/>
      <c r="H229" s="8" t="s">
        <v>996</v>
      </c>
      <c r="I229" s="8"/>
      <c r="J229" s="8"/>
      <c r="K229" s="815">
        <v>0.1</v>
      </c>
      <c r="L229" s="887"/>
      <c r="M229" s="876"/>
      <c r="N229" s="8"/>
      <c r="O229" s="7" t="s">
        <v>970</v>
      </c>
      <c r="P229" s="8"/>
      <c r="Q229" s="8"/>
      <c r="R229" s="878">
        <f>O202</f>
        <v>5782.301040597087</v>
      </c>
      <c r="S229" s="874">
        <f>R229-E256</f>
        <v>0</v>
      </c>
      <c r="T229" s="8"/>
      <c r="U229" s="8"/>
      <c r="V229" s="8"/>
      <c r="W229" s="8"/>
      <c r="X229" s="8"/>
      <c r="Y229" s="8"/>
      <c r="Z229" s="8"/>
      <c r="AA229" s="8"/>
      <c r="AB229" s="8"/>
      <c r="AC229" s="8"/>
    </row>
    <row r="230" ht="13.5" customHeight="1" hidden="1" spans="1:29" x14ac:dyDescent="0.25">
      <c r="A230" s="8"/>
      <c r="B230" s="8"/>
      <c r="C230" s="8" t="s">
        <v>997</v>
      </c>
      <c r="D230" s="8"/>
      <c r="E230" s="805">
        <f>$J$201</f>
        <v>28.30679205724242</v>
      </c>
      <c r="F230" s="696">
        <f>E230-H245</f>
        <v>0</v>
      </c>
      <c r="G230" s="8"/>
      <c r="H230" s="8" t="s">
        <v>998</v>
      </c>
      <c r="I230" s="8"/>
      <c r="J230" s="8"/>
      <c r="K230" s="805">
        <f>$S$201</f>
        <v>12.500837695746537</v>
      </c>
      <c r="L230" s="806"/>
      <c r="M230" s="696">
        <f>K230-H261</f>
        <v>0</v>
      </c>
      <c r="N230" s="8"/>
      <c r="O230" s="519" t="s">
        <v>994</v>
      </c>
      <c r="P230" s="880"/>
      <c r="Q230" s="8"/>
      <c r="R230" s="8"/>
      <c r="S230" s="874">
        <f>R229-E264</f>
        <v>0</v>
      </c>
      <c r="T230" s="8"/>
      <c r="U230" s="8"/>
      <c r="V230" s="8"/>
      <c r="W230" s="8"/>
      <c r="X230" s="8"/>
      <c r="Y230" s="8"/>
      <c r="Z230" s="8"/>
      <c r="AA230" s="8"/>
      <c r="AB230" s="8"/>
      <c r="AC230" s="8"/>
    </row>
    <row r="231" ht="13.5" customHeight="1" hidden="1" spans="1:29" x14ac:dyDescent="0.25">
      <c r="A231" s="8"/>
      <c r="B231" s="8"/>
      <c r="C231" s="8" t="s">
        <v>950</v>
      </c>
      <c r="D231" s="8"/>
      <c r="E231" s="814">
        <v>1</v>
      </c>
      <c r="F231" s="876"/>
      <c r="G231" s="8"/>
      <c r="H231" s="8" t="s">
        <v>950</v>
      </c>
      <c r="I231" s="8"/>
      <c r="J231" s="8"/>
      <c r="K231" s="814">
        <v>1</v>
      </c>
      <c r="L231" s="886"/>
      <c r="M231" s="876"/>
      <c r="N231" s="8"/>
      <c r="O231" s="8"/>
      <c r="P231" s="880"/>
      <c r="Q231" s="8"/>
      <c r="R231" s="8"/>
      <c r="S231" s="8"/>
      <c r="T231" s="8"/>
      <c r="U231" s="8"/>
      <c r="V231" s="8"/>
      <c r="W231" s="8"/>
      <c r="X231" s="8"/>
      <c r="Y231" s="8"/>
      <c r="Z231" s="8"/>
      <c r="AA231" s="8"/>
      <c r="AB231" s="8"/>
      <c r="AC231" s="8"/>
    </row>
    <row r="232" ht="13.5" customHeight="1" hidden="1" spans="1:29" x14ac:dyDescent="0.25">
      <c r="A232" s="8"/>
      <c r="B232" s="8"/>
      <c r="C232" s="8"/>
      <c r="D232" s="8"/>
      <c r="E232" s="35"/>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ht="13.5" customHeight="1" hidden="1" spans="1:29"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ht="13.5" customHeight="1" hidden="1" spans="1:29" x14ac:dyDescent="0.25">
      <c r="A234" s="8"/>
      <c r="B234" s="8"/>
      <c r="C234" s="8"/>
      <c r="D234" s="54" t="s">
        <v>953</v>
      </c>
      <c r="E234" s="14"/>
      <c r="F234" s="14"/>
      <c r="G234" s="14"/>
      <c r="H234" s="14"/>
      <c r="I234" s="14"/>
      <c r="J234" s="15"/>
      <c r="K234" s="818"/>
      <c r="L234" s="818"/>
      <c r="M234" s="54" t="s">
        <v>954</v>
      </c>
      <c r="N234" s="14"/>
      <c r="O234" s="14"/>
      <c r="P234" s="14"/>
      <c r="Q234" s="14"/>
      <c r="R234" s="14"/>
      <c r="S234" s="15"/>
      <c r="T234" s="8"/>
      <c r="U234" s="8"/>
      <c r="V234" s="8"/>
      <c r="W234" s="8"/>
      <c r="X234" s="8"/>
      <c r="Y234" s="8"/>
      <c r="Z234" s="8"/>
      <c r="AA234" s="8"/>
      <c r="AB234" s="8"/>
      <c r="AC234" s="8"/>
    </row>
    <row r="235" ht="13.5" customHeight="1" hidden="1" spans="1:29" x14ac:dyDescent="0.25">
      <c r="A235" s="8"/>
      <c r="B235" s="8"/>
      <c r="C235" s="8"/>
      <c r="D235" s="40"/>
      <c r="E235" s="191"/>
      <c r="F235" s="75"/>
      <c r="G235" s="75"/>
      <c r="H235" s="75"/>
      <c r="I235" s="75"/>
      <c r="J235" s="75"/>
      <c r="K235" s="818"/>
      <c r="L235" s="818"/>
      <c r="M235" s="40"/>
      <c r="N235" s="191"/>
      <c r="O235" s="75"/>
      <c r="P235" s="75"/>
      <c r="Q235" s="75"/>
      <c r="R235" s="75"/>
      <c r="S235" s="75"/>
      <c r="T235" s="8"/>
      <c r="U235" s="8"/>
      <c r="V235" s="8"/>
      <c r="W235" s="8"/>
      <c r="X235" s="8"/>
      <c r="Y235" s="8"/>
      <c r="Z235" s="8"/>
      <c r="AA235" s="8"/>
      <c r="AB235" s="8"/>
      <c r="AC235" s="8"/>
    </row>
    <row r="236" ht="13.5" customHeight="1" hidden="1" spans="1:29" x14ac:dyDescent="0.25">
      <c r="A236" s="8"/>
      <c r="B236" s="8"/>
      <c r="C236" s="8"/>
      <c r="D236" s="618"/>
      <c r="E236" s="620"/>
      <c r="F236" s="620" t="str">
        <f>"2006-2010"&amp;" "&amp;$G$221&amp;" P/E"</f>
        <v>2006-2010 Late Cycle P/E</v>
      </c>
      <c r="G236" s="697"/>
      <c r="H236" s="697"/>
      <c r="I236" s="697"/>
      <c r="J236" s="697"/>
      <c r="K236" s="8"/>
      <c r="L236" s="8"/>
      <c r="M236" s="618"/>
      <c r="N236" s="620"/>
      <c r="O236" s="620" t="str">
        <f>F236</f>
        <v>2006-2010 Late Cycle P/E</v>
      </c>
      <c r="P236" s="697"/>
      <c r="Q236" s="697"/>
      <c r="R236" s="697"/>
      <c r="S236" s="697"/>
      <c r="T236" s="8"/>
      <c r="U236" s="8"/>
      <c r="V236" s="8"/>
      <c r="W236" s="8"/>
      <c r="X236" s="8"/>
      <c r="Y236" s="8"/>
      <c r="Z236" s="8"/>
      <c r="AA236" s="8"/>
      <c r="AB236" s="8"/>
      <c r="AC236" s="8"/>
    </row>
    <row r="237" ht="13.5" customHeight="1" hidden="1" spans="1:29" x14ac:dyDescent="0.25">
      <c r="A237" s="8"/>
      <c r="B237" s="8"/>
      <c r="C237" s="8"/>
      <c r="D237" s="8"/>
      <c r="E237" s="819" t="e">
        <f>$F$204</f>
        <v>#DIV/0!</v>
      </c>
      <c r="F237" s="820">
        <f>G237-$E$93</f>
        <v>26.58681939089028</v>
      </c>
      <c r="G237" s="820">
        <f>H237-$E$93</f>
        <v>27.58681939089028</v>
      </c>
      <c r="H237" s="821">
        <f>E227</f>
        <v>28.58681939089028</v>
      </c>
      <c r="I237" s="820">
        <f>H237+$E$93</f>
        <v>29.58681939089028</v>
      </c>
      <c r="J237" s="820">
        <f>I237+$E$93</f>
        <v>30.58681939089028</v>
      </c>
      <c r="K237" s="8"/>
      <c r="L237" s="8"/>
      <c r="M237" s="8"/>
      <c r="N237" s="822">
        <f>$H$73</f>
        <v>0</v>
      </c>
      <c r="O237" s="820">
        <f>F237</f>
        <v>26.58681939089028</v>
      </c>
      <c r="P237" s="820">
        <f>G237</f>
        <v>27.58681939089028</v>
      </c>
      <c r="Q237" s="820">
        <f>H237</f>
        <v>28.58681939089028</v>
      </c>
      <c r="R237" s="820">
        <f>I237</f>
        <v>29.58681939089028</v>
      </c>
      <c r="S237" s="820">
        <f>J237</f>
        <v>30.58681939089028</v>
      </c>
      <c r="T237" s="8"/>
      <c r="U237" s="8"/>
      <c r="V237" s="8"/>
      <c r="W237" s="8"/>
      <c r="X237" s="8"/>
      <c r="Y237" s="8"/>
      <c r="Z237" s="8"/>
      <c r="AA237" s="8"/>
      <c r="AB237" s="8"/>
      <c r="AC237" s="8"/>
    </row>
    <row r="238" ht="13.5" customHeight="1" hidden="1" spans="1:29" x14ac:dyDescent="0.25">
      <c r="A238" s="8"/>
      <c r="B238" s="8"/>
      <c r="C238" s="8"/>
      <c r="D238" s="702" t="s">
        <v>398</v>
      </c>
      <c r="E238" s="881" t="e">
        <f>$E$164*(1-(2*$E$153))</f>
        <v>#DIV/0!</v>
      </c>
      <c r="F238" s="824" t="e">
        <f t="shared" ref="F238:J242" si="19">F$237*$E238</f>
        <v>#DIV/0!</v>
      </c>
      <c r="G238" s="825" t="e">
        <f t="shared" si="19"/>
        <v>#DIV/0!</v>
      </c>
      <c r="H238" s="825" t="e">
        <f t="shared" si="19"/>
        <v>#DIV/0!</v>
      </c>
      <c r="I238" s="825" t="e">
        <f t="shared" si="19"/>
        <v>#DIV/0!</v>
      </c>
      <c r="J238" s="826" t="e">
        <f t="shared" si="19"/>
        <v>#DIV/0!</v>
      </c>
      <c r="K238" s="8"/>
      <c r="L238" s="8"/>
      <c r="M238" s="702" t="s">
        <v>398</v>
      </c>
      <c r="N238" s="881" t="e">
        <f>E238</f>
        <v>#DIV/0!</v>
      </c>
      <c r="O238" s="827" t="e">
        <f t="shared" ref="O238:S242" si="20">F238/Share_Price-1</f>
        <v>#DIV/0!</v>
      </c>
      <c r="P238" s="690" t="e">
        <f t="shared" si="20"/>
        <v>#DIV/0!</v>
      </c>
      <c r="Q238" s="690" t="e">
        <f t="shared" si="20"/>
        <v>#DIV/0!</v>
      </c>
      <c r="R238" s="690" t="e">
        <f t="shared" si="20"/>
        <v>#DIV/0!</v>
      </c>
      <c r="S238" s="828" t="e">
        <f t="shared" si="20"/>
        <v>#DIV/0!</v>
      </c>
      <c r="T238" s="8"/>
      <c r="U238" s="8"/>
      <c r="V238" s="8"/>
      <c r="W238" s="8"/>
      <c r="X238" s="8"/>
      <c r="Y238" s="8"/>
      <c r="Z238" s="8"/>
      <c r="AA238" s="8"/>
      <c r="AB238" s="8"/>
      <c r="AC238" s="8"/>
    </row>
    <row r="239" ht="13.5" customHeight="1" hidden="1" spans="1:29" x14ac:dyDescent="0.25">
      <c r="A239" s="8"/>
      <c r="B239" s="8"/>
      <c r="C239" s="8"/>
      <c r="D239" s="707"/>
      <c r="E239" s="881" t="e">
        <f>$E$164*(1-$E$153)</f>
        <v>#DIV/0!</v>
      </c>
      <c r="F239" s="830" t="e">
        <f t="shared" si="19"/>
        <v>#DIV/0!</v>
      </c>
      <c r="G239" s="831" t="e">
        <f t="shared" si="19"/>
        <v>#DIV/0!</v>
      </c>
      <c r="H239" s="831" t="e">
        <f t="shared" si="19"/>
        <v>#DIV/0!</v>
      </c>
      <c r="I239" s="831" t="e">
        <f t="shared" si="19"/>
        <v>#DIV/0!</v>
      </c>
      <c r="J239" s="832" t="e">
        <f t="shared" si="19"/>
        <v>#DIV/0!</v>
      </c>
      <c r="K239" s="8"/>
      <c r="L239" s="8"/>
      <c r="M239" s="707"/>
      <c r="N239" s="881" t="e">
        <f>E239</f>
        <v>#DIV/0!</v>
      </c>
      <c r="O239" s="833" t="e">
        <f t="shared" si="20"/>
        <v>#DIV/0!</v>
      </c>
      <c r="P239" s="576" t="e">
        <f t="shared" si="20"/>
        <v>#DIV/0!</v>
      </c>
      <c r="Q239" s="576" t="e">
        <f t="shared" si="20"/>
        <v>#DIV/0!</v>
      </c>
      <c r="R239" s="576" t="e">
        <f t="shared" si="20"/>
        <v>#DIV/0!</v>
      </c>
      <c r="S239" s="703" t="e">
        <f t="shared" si="20"/>
        <v>#DIV/0!</v>
      </c>
      <c r="T239" s="8"/>
      <c r="U239" s="8"/>
      <c r="V239" s="8"/>
      <c r="W239" s="8"/>
      <c r="X239" s="8"/>
      <c r="Y239" s="8"/>
      <c r="Z239" s="8"/>
      <c r="AA239" s="8"/>
      <c r="AB239" s="8"/>
      <c r="AC239" s="8"/>
    </row>
    <row r="240" ht="13.5" customHeight="1" hidden="1" spans="1:29" x14ac:dyDescent="0.25">
      <c r="A240" s="8"/>
      <c r="B240" s="8"/>
      <c r="C240" s="8"/>
      <c r="D240" s="707"/>
      <c r="E240" s="882" t="e">
        <f>R227</f>
        <v>#DIV/0!</v>
      </c>
      <c r="F240" s="830" t="e">
        <f t="shared" si="19"/>
        <v>#DIV/0!</v>
      </c>
      <c r="G240" s="831" t="e">
        <f t="shared" si="19"/>
        <v>#DIV/0!</v>
      </c>
      <c r="H240" s="831" t="e">
        <f>H$237*$E240</f>
        <v>#DIV/0!</v>
      </c>
      <c r="I240" s="831" t="e">
        <f t="shared" si="19"/>
        <v>#DIV/0!</v>
      </c>
      <c r="J240" s="832" t="e">
        <f t="shared" si="19"/>
        <v>#DIV/0!</v>
      </c>
      <c r="K240" s="8"/>
      <c r="L240" s="8"/>
      <c r="M240" s="707"/>
      <c r="N240" s="881" t="e">
        <f>E240</f>
        <v>#DIV/0!</v>
      </c>
      <c r="O240" s="833" t="e">
        <f t="shared" si="20"/>
        <v>#DIV/0!</v>
      </c>
      <c r="P240" s="576" t="e">
        <f t="shared" si="20"/>
        <v>#DIV/0!</v>
      </c>
      <c r="Q240" s="576" t="e">
        <f t="shared" si="20"/>
        <v>#DIV/0!</v>
      </c>
      <c r="R240" s="576" t="e">
        <f t="shared" si="20"/>
        <v>#DIV/0!</v>
      </c>
      <c r="S240" s="703" t="e">
        <f t="shared" si="20"/>
        <v>#DIV/0!</v>
      </c>
      <c r="T240" s="8"/>
      <c r="U240" s="8"/>
      <c r="V240" s="8"/>
      <c r="W240" s="8"/>
      <c r="X240" s="8"/>
      <c r="Y240" s="8"/>
      <c r="Z240" s="8"/>
      <c r="AA240" s="8"/>
      <c r="AB240" s="8"/>
      <c r="AC240" s="8"/>
    </row>
    <row r="241" ht="13.5" customHeight="1" hidden="1" spans="1:29" x14ac:dyDescent="0.25">
      <c r="A241" s="8"/>
      <c r="B241" s="8"/>
      <c r="C241" s="8"/>
      <c r="D241" s="707"/>
      <c r="E241" s="881" t="e">
        <f>$E$164*(1+$E$153)</f>
        <v>#DIV/0!</v>
      </c>
      <c r="F241" s="830" t="e">
        <f t="shared" si="19"/>
        <v>#DIV/0!</v>
      </c>
      <c r="G241" s="831" t="e">
        <f t="shared" si="19"/>
        <v>#DIV/0!</v>
      </c>
      <c r="H241" s="831" t="e">
        <f t="shared" si="19"/>
        <v>#DIV/0!</v>
      </c>
      <c r="I241" s="831" t="e">
        <f t="shared" si="19"/>
        <v>#DIV/0!</v>
      </c>
      <c r="J241" s="832" t="e">
        <f t="shared" si="19"/>
        <v>#DIV/0!</v>
      </c>
      <c r="K241" s="8"/>
      <c r="L241" s="8"/>
      <c r="M241" s="707"/>
      <c r="N241" s="881" t="e">
        <f>E241</f>
        <v>#DIV/0!</v>
      </c>
      <c r="O241" s="833" t="e">
        <f t="shared" si="20"/>
        <v>#DIV/0!</v>
      </c>
      <c r="P241" s="576" t="e">
        <f t="shared" si="20"/>
        <v>#DIV/0!</v>
      </c>
      <c r="Q241" s="576" t="e">
        <f t="shared" si="20"/>
        <v>#DIV/0!</v>
      </c>
      <c r="R241" s="576" t="e">
        <f t="shared" si="20"/>
        <v>#DIV/0!</v>
      </c>
      <c r="S241" s="703" t="e">
        <f t="shared" si="20"/>
        <v>#DIV/0!</v>
      </c>
      <c r="T241" s="8"/>
      <c r="U241" s="8"/>
      <c r="V241" s="8"/>
      <c r="W241" s="8"/>
      <c r="X241" s="8"/>
      <c r="Y241" s="8"/>
      <c r="Z241" s="8"/>
      <c r="AA241" s="8"/>
      <c r="AB241" s="8"/>
      <c r="AC241" s="8"/>
    </row>
    <row r="242" ht="13.5" customHeight="1" hidden="1" spans="1:29" x14ac:dyDescent="0.25">
      <c r="A242" s="8"/>
      <c r="B242" s="8"/>
      <c r="C242" s="8"/>
      <c r="D242" s="712"/>
      <c r="E242" s="881" t="e">
        <f>$E$164*(1+(2*$E$153))</f>
        <v>#DIV/0!</v>
      </c>
      <c r="F242" s="837" t="e">
        <f t="shared" si="19"/>
        <v>#DIV/0!</v>
      </c>
      <c r="G242" s="838" t="e">
        <f t="shared" si="19"/>
        <v>#DIV/0!</v>
      </c>
      <c r="H242" s="838" t="e">
        <f t="shared" si="19"/>
        <v>#DIV/0!</v>
      </c>
      <c r="I242" s="838" t="e">
        <f t="shared" si="19"/>
        <v>#DIV/0!</v>
      </c>
      <c r="J242" s="839" t="e">
        <f t="shared" si="19"/>
        <v>#DIV/0!</v>
      </c>
      <c r="K242" s="8"/>
      <c r="L242" s="8"/>
      <c r="M242" s="712"/>
      <c r="N242" s="881" t="e">
        <f>E242</f>
        <v>#DIV/0!</v>
      </c>
      <c r="O242" s="840" t="e">
        <f t="shared" si="20"/>
        <v>#DIV/0!</v>
      </c>
      <c r="P242" s="699" t="e">
        <f t="shared" si="20"/>
        <v>#DIV/0!</v>
      </c>
      <c r="Q242" s="699" t="e">
        <f t="shared" si="20"/>
        <v>#DIV/0!</v>
      </c>
      <c r="R242" s="699" t="e">
        <f t="shared" si="20"/>
        <v>#DIV/0!</v>
      </c>
      <c r="S242" s="841" t="e">
        <f t="shared" si="20"/>
        <v>#DIV/0!</v>
      </c>
      <c r="T242" s="8"/>
      <c r="U242" s="8"/>
      <c r="V242" s="8"/>
      <c r="W242" s="8"/>
      <c r="X242" s="8"/>
      <c r="Y242" s="8"/>
      <c r="Z242" s="8"/>
      <c r="AA242" s="8"/>
      <c r="AB242" s="8"/>
      <c r="AC242" s="8"/>
    </row>
    <row r="243" ht="13.5" customHeight="1" hidden="1" spans="1:29"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ht="13.5" customHeight="1" hidden="1" spans="1:29" x14ac:dyDescent="0.25">
      <c r="A244" s="8"/>
      <c r="B244" s="8"/>
      <c r="C244" s="8"/>
      <c r="D244" s="618"/>
      <c r="E244" s="620"/>
      <c r="F244" s="620" t="str">
        <f>"2006-2010"&amp;" "&amp;$G$221&amp;" P/E Spread to Comps"</f>
        <v>2006-2010 Late Cycle P/E Spread to Comps</v>
      </c>
      <c r="G244" s="697"/>
      <c r="H244" s="697"/>
      <c r="I244" s="697"/>
      <c r="J244" s="697"/>
      <c r="K244" s="8"/>
      <c r="L244" s="8"/>
      <c r="M244" s="618"/>
      <c r="N244" s="620"/>
      <c r="O244" s="620" t="str">
        <f>F244</f>
        <v>2006-2010 Late Cycle P/E Spread to Comps</v>
      </c>
      <c r="P244" s="697"/>
      <c r="Q244" s="697"/>
      <c r="R244" s="697"/>
      <c r="S244" s="697"/>
      <c r="T244" s="8"/>
      <c r="U244" s="8"/>
      <c r="V244" s="8"/>
      <c r="W244" s="8"/>
      <c r="X244" s="8"/>
      <c r="Y244" s="8"/>
      <c r="Z244" s="8"/>
      <c r="AA244" s="8"/>
      <c r="AB244" s="8"/>
      <c r="AC244" s="8"/>
    </row>
    <row r="245" ht="13.5" customHeight="1" hidden="1" spans="1:29" x14ac:dyDescent="0.25">
      <c r="A245" s="8"/>
      <c r="B245" s="8"/>
      <c r="C245" s="8"/>
      <c r="D245" s="8"/>
      <c r="E245" s="819" t="e">
        <f>$J$204</f>
        <v>#DIV/0!</v>
      </c>
      <c r="F245" s="820">
        <f>G245-$E$93</f>
        <v>26.30679205724242</v>
      </c>
      <c r="G245" s="820">
        <f>H245-$E$93</f>
        <v>27.30679205724242</v>
      </c>
      <c r="H245" s="821">
        <f>E230</f>
        <v>28.30679205724242</v>
      </c>
      <c r="I245" s="820">
        <f>H245+$E$93</f>
        <v>29.30679205724242</v>
      </c>
      <c r="J245" s="820">
        <f>I245+$E$93</f>
        <v>30.30679205724242</v>
      </c>
      <c r="K245" s="8"/>
      <c r="L245" s="8"/>
      <c r="M245" s="8"/>
      <c r="N245" s="819">
        <f>$H$73</f>
        <v>0</v>
      </c>
      <c r="O245" s="820">
        <f>F245</f>
        <v>26.30679205724242</v>
      </c>
      <c r="P245" s="820">
        <f>G245</f>
        <v>27.30679205724242</v>
      </c>
      <c r="Q245" s="820">
        <f>H245</f>
        <v>28.30679205724242</v>
      </c>
      <c r="R245" s="820">
        <f>I245</f>
        <v>29.30679205724242</v>
      </c>
      <c r="S245" s="820">
        <f>J245</f>
        <v>30.30679205724242</v>
      </c>
      <c r="T245" s="8"/>
      <c r="U245" s="8"/>
      <c r="V245" s="8"/>
      <c r="W245" s="8"/>
      <c r="X245" s="8"/>
      <c r="Y245" s="8"/>
      <c r="Z245" s="8"/>
      <c r="AA245" s="8"/>
      <c r="AB245" s="8"/>
      <c r="AC245" s="8"/>
    </row>
    <row r="246" ht="13.5" customHeight="1" hidden="1" spans="1:29" x14ac:dyDescent="0.25">
      <c r="A246" s="8"/>
      <c r="B246" s="8"/>
      <c r="C246" s="8"/>
      <c r="D246" s="702" t="s">
        <v>398</v>
      </c>
      <c r="E246" s="881" t="e">
        <f>$E$172*(1-(2*$E$153))</f>
        <v>#DIV/0!</v>
      </c>
      <c r="F246" s="824" t="e">
        <f t="shared" ref="F246:J250" si="21">F$245*$E246</f>
        <v>#DIV/0!</v>
      </c>
      <c r="G246" s="825" t="e">
        <f t="shared" si="21"/>
        <v>#DIV/0!</v>
      </c>
      <c r="H246" s="825" t="e">
        <f t="shared" si="21"/>
        <v>#DIV/0!</v>
      </c>
      <c r="I246" s="825" t="e">
        <f t="shared" si="21"/>
        <v>#DIV/0!</v>
      </c>
      <c r="J246" s="826" t="e">
        <f t="shared" si="21"/>
        <v>#DIV/0!</v>
      </c>
      <c r="K246" s="8"/>
      <c r="L246" s="8"/>
      <c r="M246" s="702" t="s">
        <v>398</v>
      </c>
      <c r="N246" s="881" t="e">
        <f>E246</f>
        <v>#DIV/0!</v>
      </c>
      <c r="O246" s="827" t="e">
        <f t="shared" ref="O246:S250" si="22">F246/Share_Price-1</f>
        <v>#DIV/0!</v>
      </c>
      <c r="P246" s="690" t="e">
        <f t="shared" si="22"/>
        <v>#DIV/0!</v>
      </c>
      <c r="Q246" s="690" t="e">
        <f t="shared" si="22"/>
        <v>#DIV/0!</v>
      </c>
      <c r="R246" s="690" t="e">
        <f t="shared" si="22"/>
        <v>#DIV/0!</v>
      </c>
      <c r="S246" s="828" t="e">
        <f t="shared" si="22"/>
        <v>#DIV/0!</v>
      </c>
      <c r="T246" s="8"/>
      <c r="U246" s="8"/>
      <c r="V246" s="8"/>
      <c r="W246" s="8"/>
      <c r="X246" s="8"/>
      <c r="Y246" s="8"/>
      <c r="Z246" s="8"/>
      <c r="AA246" s="8"/>
      <c r="AB246" s="8"/>
      <c r="AC246" s="8"/>
    </row>
    <row r="247" ht="13.5" customHeight="1" hidden="1" spans="1:29" x14ac:dyDescent="0.25">
      <c r="A247" s="8"/>
      <c r="B247" s="8"/>
      <c r="C247" s="8"/>
      <c r="D247" s="707"/>
      <c r="E247" s="881" t="e">
        <f>$E$172*(1-$E$153)</f>
        <v>#DIV/0!</v>
      </c>
      <c r="F247" s="830" t="e">
        <f t="shared" si="21"/>
        <v>#DIV/0!</v>
      </c>
      <c r="G247" s="831" t="e">
        <f t="shared" si="21"/>
        <v>#DIV/0!</v>
      </c>
      <c r="H247" s="831" t="e">
        <f t="shared" si="21"/>
        <v>#DIV/0!</v>
      </c>
      <c r="I247" s="831" t="e">
        <f t="shared" si="21"/>
        <v>#DIV/0!</v>
      </c>
      <c r="J247" s="832" t="e">
        <f t="shared" si="21"/>
        <v>#DIV/0!</v>
      </c>
      <c r="K247" s="8"/>
      <c r="L247" s="8"/>
      <c r="M247" s="707"/>
      <c r="N247" s="881" t="e">
        <f>E247</f>
        <v>#DIV/0!</v>
      </c>
      <c r="O247" s="833" t="e">
        <f t="shared" si="22"/>
        <v>#DIV/0!</v>
      </c>
      <c r="P247" s="576" t="e">
        <f t="shared" si="22"/>
        <v>#DIV/0!</v>
      </c>
      <c r="Q247" s="576" t="e">
        <f t="shared" si="22"/>
        <v>#DIV/0!</v>
      </c>
      <c r="R247" s="576" t="e">
        <f t="shared" si="22"/>
        <v>#DIV/0!</v>
      </c>
      <c r="S247" s="703" t="e">
        <f t="shared" si="22"/>
        <v>#DIV/0!</v>
      </c>
      <c r="T247" s="8"/>
      <c r="U247" s="8"/>
      <c r="V247" s="8"/>
      <c r="W247" s="8"/>
      <c r="X247" s="8"/>
      <c r="Y247" s="8"/>
      <c r="Z247" s="8"/>
      <c r="AA247" s="8"/>
      <c r="AB247" s="8"/>
      <c r="AC247" s="8"/>
    </row>
    <row r="248" ht="13.5" customHeight="1" hidden="1" spans="1:29" x14ac:dyDescent="0.25">
      <c r="A248" s="8"/>
      <c r="B248" s="8"/>
      <c r="C248" s="8"/>
      <c r="D248" s="707"/>
      <c r="E248" s="882" t="e">
        <f>R227</f>
        <v>#DIV/0!</v>
      </c>
      <c r="F248" s="830" t="e">
        <f t="shared" si="21"/>
        <v>#DIV/0!</v>
      </c>
      <c r="G248" s="831" t="e">
        <f t="shared" si="21"/>
        <v>#DIV/0!</v>
      </c>
      <c r="H248" s="831" t="e">
        <f>H$245*$E248</f>
        <v>#DIV/0!</v>
      </c>
      <c r="I248" s="831" t="e">
        <f t="shared" si="21"/>
        <v>#DIV/0!</v>
      </c>
      <c r="J248" s="832" t="e">
        <f t="shared" si="21"/>
        <v>#DIV/0!</v>
      </c>
      <c r="K248" s="8"/>
      <c r="L248" s="8"/>
      <c r="M248" s="707"/>
      <c r="N248" s="881" t="e">
        <f>E248</f>
        <v>#DIV/0!</v>
      </c>
      <c r="O248" s="833" t="e">
        <f t="shared" si="22"/>
        <v>#DIV/0!</v>
      </c>
      <c r="P248" s="576" t="e">
        <f t="shared" si="22"/>
        <v>#DIV/0!</v>
      </c>
      <c r="Q248" s="576" t="e">
        <f t="shared" si="22"/>
        <v>#DIV/0!</v>
      </c>
      <c r="R248" s="576" t="e">
        <f t="shared" si="22"/>
        <v>#DIV/0!</v>
      </c>
      <c r="S248" s="703" t="e">
        <f t="shared" si="22"/>
        <v>#DIV/0!</v>
      </c>
      <c r="T248" s="8"/>
      <c r="U248" s="8"/>
      <c r="V248" s="8"/>
      <c r="W248" s="8"/>
      <c r="X248" s="8"/>
      <c r="Y248" s="8"/>
      <c r="Z248" s="8"/>
      <c r="AA248" s="8"/>
      <c r="AB248" s="8"/>
      <c r="AC248" s="8"/>
    </row>
    <row r="249" ht="13.5" customHeight="1" hidden="1" spans="1:29" x14ac:dyDescent="0.25">
      <c r="A249" s="8"/>
      <c r="B249" s="8"/>
      <c r="C249" s="8"/>
      <c r="D249" s="707"/>
      <c r="E249" s="881" t="e">
        <f>$E$172*(1+$E$153)</f>
        <v>#DIV/0!</v>
      </c>
      <c r="F249" s="830" t="e">
        <f t="shared" si="21"/>
        <v>#DIV/0!</v>
      </c>
      <c r="G249" s="831" t="e">
        <f t="shared" si="21"/>
        <v>#DIV/0!</v>
      </c>
      <c r="H249" s="831" t="e">
        <f t="shared" si="21"/>
        <v>#DIV/0!</v>
      </c>
      <c r="I249" s="831" t="e">
        <f t="shared" si="21"/>
        <v>#DIV/0!</v>
      </c>
      <c r="J249" s="832" t="e">
        <f t="shared" si="21"/>
        <v>#DIV/0!</v>
      </c>
      <c r="K249" s="8"/>
      <c r="L249" s="8"/>
      <c r="M249" s="707"/>
      <c r="N249" s="881" t="e">
        <f>E249</f>
        <v>#DIV/0!</v>
      </c>
      <c r="O249" s="833" t="e">
        <f t="shared" si="22"/>
        <v>#DIV/0!</v>
      </c>
      <c r="P249" s="576" t="e">
        <f t="shared" si="22"/>
        <v>#DIV/0!</v>
      </c>
      <c r="Q249" s="576" t="e">
        <f t="shared" si="22"/>
        <v>#DIV/0!</v>
      </c>
      <c r="R249" s="576" t="e">
        <f t="shared" si="22"/>
        <v>#DIV/0!</v>
      </c>
      <c r="S249" s="703" t="e">
        <f t="shared" si="22"/>
        <v>#DIV/0!</v>
      </c>
      <c r="T249" s="8"/>
      <c r="U249" s="8"/>
      <c r="V249" s="8"/>
      <c r="W249" s="8"/>
      <c r="X249" s="8"/>
      <c r="Y249" s="8"/>
      <c r="Z249" s="8"/>
      <c r="AA249" s="8"/>
      <c r="AB249" s="8"/>
      <c r="AC249" s="8"/>
    </row>
    <row r="250" ht="13.5" customHeight="1" hidden="1" spans="1:29" x14ac:dyDescent="0.25">
      <c r="A250" s="8"/>
      <c r="B250" s="8"/>
      <c r="C250" s="8"/>
      <c r="D250" s="712"/>
      <c r="E250" s="881" t="e">
        <f>$E$172*(1+(2*$E$153))</f>
        <v>#DIV/0!</v>
      </c>
      <c r="F250" s="837" t="e">
        <f t="shared" si="21"/>
        <v>#DIV/0!</v>
      </c>
      <c r="G250" s="838" t="e">
        <f t="shared" si="21"/>
        <v>#DIV/0!</v>
      </c>
      <c r="H250" s="838" t="e">
        <f t="shared" si="21"/>
        <v>#DIV/0!</v>
      </c>
      <c r="I250" s="838" t="e">
        <f t="shared" si="21"/>
        <v>#DIV/0!</v>
      </c>
      <c r="J250" s="839" t="e">
        <f t="shared" si="21"/>
        <v>#DIV/0!</v>
      </c>
      <c r="K250" s="8"/>
      <c r="L250" s="8"/>
      <c r="M250" s="712"/>
      <c r="N250" s="881" t="e">
        <f>E250</f>
        <v>#DIV/0!</v>
      </c>
      <c r="O250" s="840" t="e">
        <f t="shared" si="22"/>
        <v>#DIV/0!</v>
      </c>
      <c r="P250" s="699" t="e">
        <f t="shared" si="22"/>
        <v>#DIV/0!</v>
      </c>
      <c r="Q250" s="699" t="e">
        <f t="shared" si="22"/>
        <v>#DIV/0!</v>
      </c>
      <c r="R250" s="699" t="e">
        <f t="shared" si="22"/>
        <v>#DIV/0!</v>
      </c>
      <c r="S250" s="841" t="e">
        <f t="shared" si="22"/>
        <v>#DIV/0!</v>
      </c>
      <c r="T250" s="8"/>
      <c r="U250" s="8"/>
      <c r="V250" s="8"/>
      <c r="W250" s="8"/>
      <c r="X250" s="8"/>
      <c r="Y250" s="8"/>
      <c r="Z250" s="8"/>
      <c r="AA250" s="8"/>
      <c r="AB250" s="8"/>
      <c r="AC250" s="8"/>
    </row>
    <row r="251" ht="13.5" customHeight="1" hidden="1" spans="1:29"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ht="13.5" customHeight="1" hidden="1" spans="1:29" x14ac:dyDescent="0.25">
      <c r="A252" s="8"/>
      <c r="B252" s="8"/>
      <c r="C252" s="8"/>
      <c r="D252" s="618"/>
      <c r="E252" s="620"/>
      <c r="F252" s="620" t="str">
        <f>"2006-2010"&amp;" "&amp;$G$221&amp;" EV/EBITDA"</f>
        <v>2006-2010 Late Cycle EV/EBITDA</v>
      </c>
      <c r="G252" s="697"/>
      <c r="H252" s="697"/>
      <c r="I252" s="697"/>
      <c r="J252" s="697"/>
      <c r="K252" s="8"/>
      <c r="L252" s="8"/>
      <c r="M252" s="618"/>
      <c r="N252" s="620"/>
      <c r="O252" s="620" t="str">
        <f>F252</f>
        <v>2006-2010 Late Cycle EV/EBITDA</v>
      </c>
      <c r="P252" s="697"/>
      <c r="Q252" s="697"/>
      <c r="R252" s="697"/>
      <c r="S252" s="697"/>
      <c r="T252" s="8"/>
      <c r="U252" s="8"/>
      <c r="V252" s="8"/>
      <c r="W252" s="8"/>
      <c r="X252" s="8"/>
      <c r="Y252" s="8"/>
      <c r="Z252" s="8"/>
      <c r="AA252" s="8"/>
      <c r="AB252" s="8"/>
      <c r="AC252" s="8"/>
    </row>
    <row r="253" ht="13.5" customHeight="1" hidden="1" spans="1:29" x14ac:dyDescent="0.25">
      <c r="A253" s="8"/>
      <c r="B253" s="8"/>
      <c r="C253" s="8"/>
      <c r="D253" s="8"/>
      <c r="E253" s="819">
        <f>$O$215</f>
        <v>212.86147015526475</v>
      </c>
      <c r="F253" s="820">
        <f>G253-$E$93</f>
        <v>11.691273230062675</v>
      </c>
      <c r="G253" s="820">
        <f>H253-$E$93</f>
        <v>12.691273230062675</v>
      </c>
      <c r="H253" s="821">
        <f>K227</f>
        <v>13.691273230062675</v>
      </c>
      <c r="I253" s="820">
        <f>H253+$E$93</f>
        <v>14.691273230062675</v>
      </c>
      <c r="J253" s="820">
        <f>I253+$E$93</f>
        <v>15.691273230062675</v>
      </c>
      <c r="K253" s="8"/>
      <c r="L253" s="8"/>
      <c r="M253" s="8"/>
      <c r="N253" s="819">
        <f>$H$73</f>
        <v>0</v>
      </c>
      <c r="O253" s="820">
        <f>F253</f>
        <v>11.691273230062675</v>
      </c>
      <c r="P253" s="820">
        <f>G253</f>
        <v>12.691273230062675</v>
      </c>
      <c r="Q253" s="820">
        <f>H253</f>
        <v>13.691273230062675</v>
      </c>
      <c r="R253" s="820">
        <f>I253</f>
        <v>14.691273230062675</v>
      </c>
      <c r="S253" s="820">
        <f>J253</f>
        <v>15.691273230062675</v>
      </c>
      <c r="T253" s="8"/>
      <c r="U253" s="8"/>
      <c r="V253" s="8"/>
      <c r="W253" s="8"/>
      <c r="X253" s="8"/>
      <c r="Y253" s="8"/>
      <c r="Z253" s="8"/>
      <c r="AA253" s="8"/>
      <c r="AB253" s="8"/>
      <c r="AC253" s="8"/>
    </row>
    <row r="254" ht="13.5" customHeight="1" hidden="1" spans="1:29" x14ac:dyDescent="0.25">
      <c r="A254" s="8"/>
      <c r="B254" s="8"/>
      <c r="C254" s="8"/>
      <c r="D254" s="702" t="s">
        <v>290</v>
      </c>
      <c r="E254" s="790">
        <f>$E$180*(1-(2*$K$153))</f>
        <v>4625.84083247767</v>
      </c>
      <c r="F254" s="824">
        <f t="shared" ref="F254:J258" si="23">((F$253*$E254+(SUM($O$127:$O$129)))/$O$135)</f>
        <v>132.54096309790506</v>
      </c>
      <c r="G254" s="825">
        <f t="shared" si="23"/>
        <v>147.35313355092353</v>
      </c>
      <c r="H254" s="825">
        <f t="shared" si="23"/>
        <v>162.16530400394203</v>
      </c>
      <c r="I254" s="825">
        <f t="shared" si="23"/>
        <v>176.9774744569605</v>
      </c>
      <c r="J254" s="826">
        <f t="shared" si="23"/>
        <v>191.78964490997896</v>
      </c>
      <c r="K254" s="8"/>
      <c r="L254" s="8"/>
      <c r="M254" s="702" t="s">
        <v>290</v>
      </c>
      <c r="N254" s="790">
        <f>E254</f>
        <v>4625.84083247767</v>
      </c>
      <c r="O254" s="827">
        <f t="shared" ref="O254:S258" si="24">F254/Share_Price-1</f>
        <v>-0.3583105151396512</v>
      </c>
      <c r="P254" s="690">
        <f t="shared" si="24"/>
        <v>-0.2865982398890171</v>
      </c>
      <c r="Q254" s="690">
        <f t="shared" si="24"/>
        <v>-0.21488596463838283</v>
      </c>
      <c r="R254" s="690">
        <f t="shared" si="24"/>
        <v>-0.14317368938774877</v>
      </c>
      <c r="S254" s="828">
        <f t="shared" si="24"/>
        <v>-0.07146141413711471</v>
      </c>
      <c r="T254" s="8"/>
      <c r="U254" s="8"/>
      <c r="V254" s="8"/>
      <c r="W254" s="8"/>
      <c r="X254" s="8"/>
      <c r="Y254" s="8"/>
      <c r="Z254" s="8"/>
      <c r="AA254" s="8"/>
      <c r="AB254" s="8"/>
      <c r="AC254" s="8"/>
    </row>
    <row r="255" ht="13.5" customHeight="1" hidden="1" spans="1:29" x14ac:dyDescent="0.25">
      <c r="A255" s="8"/>
      <c r="B255" s="8"/>
      <c r="C255" s="8"/>
      <c r="D255" s="707"/>
      <c r="E255" s="790">
        <f>$E$180*(1-$K$153)</f>
        <v>5204.070936537379</v>
      </c>
      <c r="F255" s="830">
        <f t="shared" si="23"/>
        <v>154.1876045849676</v>
      </c>
      <c r="G255" s="831">
        <f t="shared" si="23"/>
        <v>170.8512963446134</v>
      </c>
      <c r="H255" s="831">
        <f t="shared" si="23"/>
        <v>187.51498810425917</v>
      </c>
      <c r="I255" s="831">
        <f t="shared" si="23"/>
        <v>204.17867986390493</v>
      </c>
      <c r="J255" s="832">
        <f t="shared" si="23"/>
        <v>220.8423716235507</v>
      </c>
      <c r="K255" s="8"/>
      <c r="L255" s="8"/>
      <c r="M255" s="707"/>
      <c r="N255" s="790">
        <f>E255</f>
        <v>5204.070936537379</v>
      </c>
      <c r="O255" s="833">
        <f t="shared" si="24"/>
        <v>-0.25350953965157297</v>
      </c>
      <c r="P255" s="576">
        <f t="shared" si="24"/>
        <v>-0.1728332299946096</v>
      </c>
      <c r="Q255" s="576">
        <f t="shared" si="24"/>
        <v>-0.09215692033764622</v>
      </c>
      <c r="R255" s="576">
        <f t="shared" si="24"/>
        <v>-0.011480610680683068</v>
      </c>
      <c r="S255" s="703">
        <f t="shared" si="24"/>
        <v>0.0691956989762803</v>
      </c>
      <c r="T255" s="8"/>
      <c r="U255" s="8"/>
      <c r="V255" s="8"/>
      <c r="W255" s="8"/>
      <c r="X255" s="8"/>
      <c r="Y255" s="8"/>
      <c r="Z255" s="8"/>
      <c r="AA255" s="8"/>
      <c r="AB255" s="8"/>
      <c r="AC255" s="8"/>
    </row>
    <row r="256" ht="13.5" customHeight="1" hidden="1" spans="1:29" x14ac:dyDescent="0.25">
      <c r="A256" s="8"/>
      <c r="B256" s="8"/>
      <c r="C256" s="8"/>
      <c r="D256" s="707"/>
      <c r="E256" s="883">
        <f>R229</f>
        <v>5782.301040597087</v>
      </c>
      <c r="F256" s="830">
        <f t="shared" si="23"/>
        <v>175.8342460720301</v>
      </c>
      <c r="G256" s="831">
        <f t="shared" si="23"/>
        <v>194.34945913830322</v>
      </c>
      <c r="H256" s="831">
        <f t="shared" si="23"/>
        <v>212.86467220457627</v>
      </c>
      <c r="I256" s="831">
        <f t="shared" si="23"/>
        <v>231.37988527084937</v>
      </c>
      <c r="J256" s="832">
        <f t="shared" si="23"/>
        <v>249.89509833712245</v>
      </c>
      <c r="K256" s="8"/>
      <c r="L256" s="8"/>
      <c r="M256" s="707"/>
      <c r="N256" s="790">
        <f>E256</f>
        <v>5782.301040597087</v>
      </c>
      <c r="O256" s="833">
        <f t="shared" si="24"/>
        <v>-0.14870856416349498</v>
      </c>
      <c r="P256" s="576">
        <f t="shared" si="24"/>
        <v>-0.059068220100202296</v>
      </c>
      <c r="Q256" s="576">
        <f t="shared" si="24"/>
        <v>0.03057212396309006</v>
      </c>
      <c r="R256" s="576">
        <f t="shared" si="24"/>
        <v>0.12021246802638275</v>
      </c>
      <c r="S256" s="703">
        <f t="shared" si="24"/>
        <v>0.2098528120896752</v>
      </c>
      <c r="T256" s="8"/>
      <c r="U256" s="8"/>
      <c r="V256" s="8"/>
      <c r="W256" s="8"/>
      <c r="X256" s="8"/>
      <c r="Y256" s="8"/>
      <c r="Z256" s="8"/>
      <c r="AA256" s="8"/>
      <c r="AB256" s="8"/>
      <c r="AC256" s="8"/>
    </row>
    <row r="257" ht="13.5" customHeight="1" hidden="1" spans="1:29" x14ac:dyDescent="0.25">
      <c r="A257" s="8"/>
      <c r="B257" s="8"/>
      <c r="C257" s="8"/>
      <c r="D257" s="707"/>
      <c r="E257" s="790">
        <f>$E$180*(1+$K$153)</f>
        <v>6360.531144656797</v>
      </c>
      <c r="F257" s="830">
        <f t="shared" si="23"/>
        <v>197.48088755909268</v>
      </c>
      <c r="G257" s="831">
        <f t="shared" si="23"/>
        <v>217.84762193199305</v>
      </c>
      <c r="H257" s="831">
        <f t="shared" si="23"/>
        <v>238.21435630489344</v>
      </c>
      <c r="I257" s="831">
        <f t="shared" si="23"/>
        <v>258.58109067779384</v>
      </c>
      <c r="J257" s="832">
        <f t="shared" si="23"/>
        <v>278.9478250506943</v>
      </c>
      <c r="K257" s="8"/>
      <c r="L257" s="8"/>
      <c r="M257" s="707"/>
      <c r="N257" s="790">
        <f>E257</f>
        <v>6360.531144656797</v>
      </c>
      <c r="O257" s="833">
        <f t="shared" si="24"/>
        <v>-0.043907588675416775</v>
      </c>
      <c r="P257" s="576">
        <f t="shared" si="24"/>
        <v>0.054696789794205</v>
      </c>
      <c r="Q257" s="576">
        <f t="shared" si="24"/>
        <v>0.15330116826382678</v>
      </c>
      <c r="R257" s="576">
        <f t="shared" si="24"/>
        <v>0.2519055467334488</v>
      </c>
      <c r="S257" s="703">
        <f t="shared" si="24"/>
        <v>0.3505099252030708</v>
      </c>
      <c r="T257" s="8"/>
      <c r="U257" s="8"/>
      <c r="V257" s="8"/>
      <c r="W257" s="8"/>
      <c r="X257" s="8"/>
      <c r="Y257" s="8"/>
      <c r="Z257" s="8"/>
      <c r="AA257" s="8"/>
      <c r="AB257" s="8"/>
      <c r="AC257" s="8"/>
    </row>
    <row r="258" ht="13.5" customHeight="1" hidden="1" spans="1:29" x14ac:dyDescent="0.25">
      <c r="A258" s="8"/>
      <c r="B258" s="8"/>
      <c r="C258" s="8"/>
      <c r="D258" s="712"/>
      <c r="E258" s="790">
        <f>$E$180*(1+(2*$K$153))</f>
        <v>6938.761248716504</v>
      </c>
      <c r="F258" s="837">
        <f t="shared" si="23"/>
        <v>219.12752904615513</v>
      </c>
      <c r="G258" s="838">
        <f t="shared" si="23"/>
        <v>241.34578472568282</v>
      </c>
      <c r="H258" s="838">
        <f t="shared" si="23"/>
        <v>263.56404040521056</v>
      </c>
      <c r="I258" s="838">
        <f t="shared" si="23"/>
        <v>285.7822960847383</v>
      </c>
      <c r="J258" s="839">
        <f t="shared" si="23"/>
        <v>308.000551764266</v>
      </c>
      <c r="K258" s="8"/>
      <c r="L258" s="8"/>
      <c r="M258" s="712"/>
      <c r="N258" s="790">
        <f>E258</f>
        <v>6938.761248716504</v>
      </c>
      <c r="O258" s="840">
        <f t="shared" si="24"/>
        <v>0.06089338681266088</v>
      </c>
      <c r="P258" s="699">
        <f t="shared" si="24"/>
        <v>0.16846179968861197</v>
      </c>
      <c r="Q258" s="699">
        <f t="shared" si="24"/>
        <v>0.2760302125645633</v>
      </c>
      <c r="R258" s="699">
        <f t="shared" si="24"/>
        <v>0.3835986254405144</v>
      </c>
      <c r="S258" s="841">
        <f t="shared" si="24"/>
        <v>0.4911670383164657</v>
      </c>
      <c r="T258" s="8"/>
      <c r="U258" s="8"/>
      <c r="V258" s="8"/>
      <c r="W258" s="8"/>
      <c r="X258" s="8"/>
      <c r="Y258" s="8"/>
      <c r="Z258" s="8"/>
      <c r="AA258" s="8"/>
      <c r="AB258" s="8"/>
      <c r="AC258" s="8"/>
    </row>
    <row r="259" ht="13.5" customHeight="1" hidden="1" spans="1:29"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ht="13.5" customHeight="1" hidden="1" spans="1:29" x14ac:dyDescent="0.25">
      <c r="A260" s="8"/>
      <c r="B260" s="8"/>
      <c r="C260" s="8"/>
      <c r="D260" s="618"/>
      <c r="E260" s="620"/>
      <c r="F260" s="620" t="str">
        <f>"2006-2010"&amp;" "&amp;$G$221&amp;" EV/EBITDA Spread to Comps"</f>
        <v>2006-2010 Late Cycle EV/EBITDA Spread to Comps</v>
      </c>
      <c r="G260" s="697"/>
      <c r="H260" s="697"/>
      <c r="I260" s="697"/>
      <c r="J260" s="697"/>
      <c r="K260" s="8"/>
      <c r="L260" s="8"/>
      <c r="M260" s="618"/>
      <c r="N260" s="620"/>
      <c r="O260" s="620" t="str">
        <f>F260</f>
        <v>2006-2010 Late Cycle EV/EBITDA Spread to Comps</v>
      </c>
      <c r="P260" s="697"/>
      <c r="Q260" s="697"/>
      <c r="R260" s="697"/>
      <c r="S260" s="697"/>
      <c r="T260" s="8"/>
      <c r="U260" s="8"/>
      <c r="V260" s="8"/>
      <c r="W260" s="8"/>
      <c r="X260" s="8"/>
      <c r="Y260" s="8"/>
      <c r="Z260" s="8"/>
      <c r="AA260" s="8"/>
      <c r="AB260" s="8"/>
      <c r="AC260" s="8"/>
    </row>
    <row r="261" ht="13.5" customHeight="1" hidden="1" spans="1:29" x14ac:dyDescent="0.25">
      <c r="A261" s="8"/>
      <c r="B261" s="8"/>
      <c r="C261" s="8"/>
      <c r="D261" s="8"/>
      <c r="E261" s="819">
        <f>$S$215</f>
        <v>190.8203025957388</v>
      </c>
      <c r="F261" s="820">
        <f>G261-$E$93</f>
        <v>10.500837695746537</v>
      </c>
      <c r="G261" s="820">
        <f>H261-$E$93</f>
        <v>11.500837695746537</v>
      </c>
      <c r="H261" s="821">
        <f>K230</f>
        <v>12.500837695746537</v>
      </c>
      <c r="I261" s="820">
        <f>H261+$E$93</f>
        <v>13.500837695746537</v>
      </c>
      <c r="J261" s="820">
        <f>I261+$E$93</f>
        <v>14.500837695746537</v>
      </c>
      <c r="K261" s="8"/>
      <c r="L261" s="8"/>
      <c r="M261" s="8"/>
      <c r="N261" s="819">
        <f>$H$73</f>
        <v>0</v>
      </c>
      <c r="O261" s="820">
        <f>F261</f>
        <v>10.500837695746537</v>
      </c>
      <c r="P261" s="820">
        <f>G261</f>
        <v>11.500837695746537</v>
      </c>
      <c r="Q261" s="820">
        <f>H261</f>
        <v>12.500837695746537</v>
      </c>
      <c r="R261" s="820">
        <f>I261</f>
        <v>13.500837695746537</v>
      </c>
      <c r="S261" s="820">
        <f>J261</f>
        <v>14.500837695746537</v>
      </c>
      <c r="T261" s="8"/>
      <c r="U261" s="8"/>
      <c r="V261" s="8"/>
      <c r="W261" s="8"/>
      <c r="X261" s="8"/>
      <c r="Y261" s="8"/>
      <c r="Z261" s="8"/>
      <c r="AA261" s="8"/>
      <c r="AB261" s="8"/>
      <c r="AC261" s="8"/>
    </row>
    <row r="262" ht="13.5" customHeight="1" hidden="1" spans="1:29" x14ac:dyDescent="0.25">
      <c r="A262" s="8"/>
      <c r="B262" s="8"/>
      <c r="C262" s="8"/>
      <c r="D262" s="702" t="s">
        <v>290</v>
      </c>
      <c r="E262" s="790">
        <f>$E$188*(1-(2*$K$153))</f>
        <v>4625.84083247767</v>
      </c>
      <c r="F262" s="824">
        <f t="shared" ref="F262:J266" si="25">((F$261*$E262+(SUM($O$127:$O$129)))/$O$135)</f>
        <v>114.9080290502843</v>
      </c>
      <c r="G262" s="825">
        <f t="shared" si="25"/>
        <v>129.72019950330278</v>
      </c>
      <c r="H262" s="825">
        <f t="shared" si="25"/>
        <v>144.53236995632128</v>
      </c>
      <c r="I262" s="825">
        <f t="shared" si="25"/>
        <v>159.34454040933974</v>
      </c>
      <c r="J262" s="826">
        <f t="shared" si="25"/>
        <v>174.1567108623582</v>
      </c>
      <c r="K262" s="8"/>
      <c r="L262" s="8"/>
      <c r="M262" s="702" t="s">
        <v>290</v>
      </c>
      <c r="N262" s="790">
        <f>E262</f>
        <v>4625.84083247767</v>
      </c>
      <c r="O262" s="827">
        <f t="shared" ref="O262:S266" si="26">F262/Share_Price-1</f>
        <v>-0.4436793558446658</v>
      </c>
      <c r="P262" s="690">
        <f t="shared" si="26"/>
        <v>-0.3719670805940316</v>
      </c>
      <c r="Q262" s="690">
        <f t="shared" si="26"/>
        <v>-0.30025480534339744</v>
      </c>
      <c r="R262" s="690">
        <f t="shared" si="26"/>
        <v>-0.22854253009276337</v>
      </c>
      <c r="S262" s="828">
        <f t="shared" si="26"/>
        <v>-0.1568302548421293</v>
      </c>
      <c r="T262" s="8"/>
      <c r="U262" s="8"/>
      <c r="V262" s="8"/>
      <c r="W262" s="8"/>
      <c r="X262" s="8"/>
      <c r="Y262" s="8"/>
      <c r="Z262" s="8"/>
      <c r="AA262" s="8"/>
      <c r="AB262" s="8"/>
      <c r="AC262" s="8"/>
    </row>
    <row r="263" ht="13.5" customHeight="1" hidden="1" spans="1:29" x14ac:dyDescent="0.25">
      <c r="A263" s="8"/>
      <c r="B263" s="8"/>
      <c r="C263" s="8"/>
      <c r="D263" s="707"/>
      <c r="E263" s="790">
        <f>$E$188*(1-$K$153)</f>
        <v>5204.070936537379</v>
      </c>
      <c r="F263" s="830">
        <f t="shared" si="25"/>
        <v>134.35055378139424</v>
      </c>
      <c r="G263" s="831">
        <f t="shared" si="25"/>
        <v>151.01424554104</v>
      </c>
      <c r="H263" s="831">
        <f t="shared" si="25"/>
        <v>167.67793730068578</v>
      </c>
      <c r="I263" s="831">
        <f t="shared" si="25"/>
        <v>184.3416290603316</v>
      </c>
      <c r="J263" s="832">
        <f t="shared" si="25"/>
        <v>201.00532081997736</v>
      </c>
      <c r="K263" s="8"/>
      <c r="L263" s="8"/>
      <c r="M263" s="707"/>
      <c r="N263" s="790">
        <f>E263</f>
        <v>5204.070936537379</v>
      </c>
      <c r="O263" s="833">
        <f t="shared" si="26"/>
        <v>-0.3495494854447144</v>
      </c>
      <c r="P263" s="576">
        <f t="shared" si="26"/>
        <v>-0.26887317578775116</v>
      </c>
      <c r="Q263" s="576">
        <f t="shared" si="26"/>
        <v>-0.1881968661307878</v>
      </c>
      <c r="R263" s="576">
        <f t="shared" si="26"/>
        <v>-0.1075205564738243</v>
      </c>
      <c r="S263" s="703">
        <f t="shared" si="26"/>
        <v>-0.02684424681686104</v>
      </c>
      <c r="T263" s="8"/>
      <c r="U263" s="8"/>
      <c r="V263" s="8"/>
      <c r="W263" s="8"/>
      <c r="X263" s="8"/>
      <c r="Y263" s="8"/>
      <c r="Z263" s="8"/>
      <c r="AA263" s="8"/>
      <c r="AB263" s="8"/>
      <c r="AC263" s="8"/>
    </row>
    <row r="264" ht="13.5" customHeight="1" hidden="1" spans="1:29" x14ac:dyDescent="0.25">
      <c r="A264" s="8"/>
      <c r="B264" s="8"/>
      <c r="C264" s="8"/>
      <c r="D264" s="707"/>
      <c r="E264" s="883">
        <f>R229</f>
        <v>5782.301040597087</v>
      </c>
      <c r="F264" s="830">
        <f t="shared" si="25"/>
        <v>153.79307851250417</v>
      </c>
      <c r="G264" s="831">
        <f t="shared" si="25"/>
        <v>172.30829157877722</v>
      </c>
      <c r="H264" s="831">
        <f t="shared" si="25"/>
        <v>190.82350464505035</v>
      </c>
      <c r="I264" s="831">
        <f t="shared" si="25"/>
        <v>209.33871771132345</v>
      </c>
      <c r="J264" s="832">
        <f t="shared" si="25"/>
        <v>227.8539307775965</v>
      </c>
      <c r="K264" s="8"/>
      <c r="L264" s="8"/>
      <c r="M264" s="707"/>
      <c r="N264" s="790">
        <f>E264</f>
        <v>5782.301040597087</v>
      </c>
      <c r="O264" s="833">
        <f t="shared" si="26"/>
        <v>-0.2554196150447632</v>
      </c>
      <c r="P264" s="576">
        <f t="shared" si="26"/>
        <v>-0.16577927098147083</v>
      </c>
      <c r="Q264" s="576">
        <f t="shared" si="26"/>
        <v>-0.07613892691817803</v>
      </c>
      <c r="R264" s="576">
        <f t="shared" si="26"/>
        <v>0.013501417145114658</v>
      </c>
      <c r="S264" s="703">
        <f t="shared" si="26"/>
        <v>0.10314176120840712</v>
      </c>
      <c r="T264" s="8"/>
      <c r="U264" s="8"/>
      <c r="V264" s="8"/>
      <c r="W264" s="8"/>
      <c r="X264" s="8"/>
      <c r="Y264" s="8"/>
      <c r="Z264" s="8"/>
      <c r="AA264" s="8"/>
      <c r="AB264" s="8"/>
      <c r="AC264" s="8"/>
    </row>
    <row r="265" ht="13.5" customHeight="1" hidden="1" spans="1:29" x14ac:dyDescent="0.25">
      <c r="A265" s="8"/>
      <c r="B265" s="8"/>
      <c r="C265" s="8"/>
      <c r="D265" s="707"/>
      <c r="E265" s="790">
        <f>$E$188*(1+$K$153)</f>
        <v>6360.531144656797</v>
      </c>
      <c r="F265" s="830">
        <f t="shared" si="25"/>
        <v>173.23560324361412</v>
      </c>
      <c r="G265" s="831">
        <f t="shared" si="25"/>
        <v>193.60233761651452</v>
      </c>
      <c r="H265" s="831">
        <f t="shared" si="25"/>
        <v>213.96907198941489</v>
      </c>
      <c r="I265" s="831">
        <f t="shared" si="25"/>
        <v>234.33580636231528</v>
      </c>
      <c r="J265" s="832">
        <f t="shared" si="25"/>
        <v>254.7025407352157</v>
      </c>
      <c r="K265" s="8"/>
      <c r="L265" s="8"/>
      <c r="M265" s="707"/>
      <c r="N265" s="790">
        <f>E265</f>
        <v>6360.531144656797</v>
      </c>
      <c r="O265" s="833">
        <f t="shared" si="26"/>
        <v>-0.16128974464481183</v>
      </c>
      <c r="P265" s="576">
        <f t="shared" si="26"/>
        <v>-0.06268536617518994</v>
      </c>
      <c r="Q265" s="576">
        <f t="shared" si="26"/>
        <v>0.03591901229443173</v>
      </c>
      <c r="R265" s="576">
        <f t="shared" si="26"/>
        <v>0.1345233907640535</v>
      </c>
      <c r="S265" s="703">
        <f t="shared" si="26"/>
        <v>0.2331277692336755</v>
      </c>
      <c r="T265" s="8"/>
      <c r="U265" s="8"/>
      <c r="V265" s="8"/>
      <c r="W265" s="8"/>
      <c r="X265" s="8"/>
      <c r="Y265" s="8"/>
      <c r="Z265" s="8"/>
      <c r="AA265" s="8"/>
      <c r="AB265" s="8"/>
      <c r="AC265" s="8"/>
    </row>
    <row r="266" ht="14.25" customHeight="1" hidden="1" spans="1:29" x14ac:dyDescent="0.25">
      <c r="A266" s="8"/>
      <c r="B266" s="8"/>
      <c r="C266" s="8"/>
      <c r="D266" s="712"/>
      <c r="E266" s="790">
        <f>$E$188*(1+(2*$K$153))</f>
        <v>6938.761248716504</v>
      </c>
      <c r="F266" s="837">
        <f t="shared" si="25"/>
        <v>192.678127974724</v>
      </c>
      <c r="G266" s="838">
        <f t="shared" si="25"/>
        <v>214.89638365425168</v>
      </c>
      <c r="H266" s="838">
        <f t="shared" si="25"/>
        <v>237.1146393337794</v>
      </c>
      <c r="I266" s="838">
        <f t="shared" si="25"/>
        <v>259.3328950133071</v>
      </c>
      <c r="J266" s="839">
        <f t="shared" si="25"/>
        <v>281.5511506928348</v>
      </c>
      <c r="K266" s="8"/>
      <c r="L266" s="8"/>
      <c r="M266" s="712"/>
      <c r="N266" s="790">
        <f>E266</f>
        <v>6938.761248716504</v>
      </c>
      <c r="O266" s="840">
        <f t="shared" si="26"/>
        <v>-0.06715987424486092</v>
      </c>
      <c r="P266" s="699">
        <f t="shared" si="26"/>
        <v>0.040408538631090174</v>
      </c>
      <c r="Q266" s="699">
        <f t="shared" si="26"/>
        <v>0.14797695150704127</v>
      </c>
      <c r="R266" s="699">
        <f t="shared" si="26"/>
        <v>0.2555453643829926</v>
      </c>
      <c r="S266" s="841">
        <f t="shared" si="26"/>
        <v>0.36311377725894367</v>
      </c>
      <c r="T266" s="8"/>
      <c r="U266" s="8"/>
      <c r="V266" s="8"/>
      <c r="W266" s="8"/>
      <c r="X266" s="8"/>
      <c r="Y266" s="8"/>
      <c r="Z266" s="8"/>
      <c r="AA266" s="8"/>
      <c r="AB266" s="8"/>
      <c r="AC266" s="8"/>
    </row>
    <row r="267" ht="4.5" customHeight="1" hidden="1" spans="1:29" x14ac:dyDescent="0.25">
      <c r="A267" s="8"/>
      <c r="B267" s="8"/>
      <c r="C267" s="8"/>
      <c r="D267" s="888"/>
      <c r="E267" s="107"/>
      <c r="F267" s="223"/>
      <c r="G267" s="223"/>
      <c r="H267" s="223"/>
      <c r="I267" s="223"/>
      <c r="J267" s="223"/>
      <c r="K267" s="8"/>
      <c r="L267" s="8"/>
      <c r="M267" s="888"/>
      <c r="N267" s="107"/>
      <c r="O267" s="144"/>
      <c r="P267" s="144"/>
      <c r="Q267" s="144"/>
      <c r="R267" s="144"/>
      <c r="S267" s="144"/>
      <c r="T267" s="8"/>
      <c r="U267" s="8"/>
      <c r="V267" s="8"/>
      <c r="W267" s="8"/>
      <c r="X267" s="8"/>
      <c r="Y267" s="8"/>
      <c r="Z267" s="8"/>
      <c r="AA267" s="8"/>
      <c r="AB267" s="8"/>
      <c r="AC267" s="8"/>
    </row>
    <row r="268" ht="13.5" customHeight="1" hidden="1" spans="1:29" x14ac:dyDescent="0.25">
      <c r="A268" s="257" t="s">
        <v>3</v>
      </c>
      <c r="B268" s="8"/>
      <c r="C268" s="102" t="s">
        <v>909</v>
      </c>
      <c r="D268" s="103"/>
      <c r="E268" s="103"/>
      <c r="F268" s="103"/>
      <c r="G268" s="103"/>
      <c r="H268" s="103"/>
      <c r="I268" s="103"/>
      <c r="J268" s="103"/>
      <c r="K268" s="103"/>
      <c r="L268" s="103"/>
      <c r="M268" s="103"/>
      <c r="N268" s="103"/>
      <c r="O268" s="103"/>
      <c r="P268" s="103"/>
      <c r="Q268" s="103"/>
      <c r="R268" s="103"/>
      <c r="S268" s="103"/>
      <c r="T268" s="257" t="s">
        <v>3</v>
      </c>
      <c r="U268" s="8"/>
      <c r="V268" s="8"/>
      <c r="W268" s="8"/>
      <c r="X268" s="8"/>
      <c r="Y268" s="8"/>
      <c r="Z268" s="8"/>
      <c r="AA268" s="8"/>
      <c r="AB268" s="8"/>
      <c r="AC268" s="8"/>
    </row>
    <row r="269" ht="4.5" customHeight="1" hidden="1" spans="1:29"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ht="13.5" customHeight="1" hidden="1" spans="1:29" x14ac:dyDescent="0.25" outlineLevel="1" collapsed="1">
      <c r="A270" s="8"/>
      <c r="B270" s="8"/>
      <c r="C270" s="36" t="s">
        <v>240</v>
      </c>
      <c r="D270" s="37"/>
      <c r="E270" s="100" t="s">
        <v>970</v>
      </c>
      <c r="F270" s="37"/>
      <c r="G270" s="100" t="s">
        <v>1008</v>
      </c>
      <c r="H270" s="100"/>
      <c r="I270" s="100" t="s">
        <v>1009</v>
      </c>
      <c r="J270" s="100"/>
      <c r="K270" s="100" t="s">
        <v>968</v>
      </c>
      <c r="L270" s="100"/>
      <c r="M270" s="100"/>
      <c r="N270" s="38" t="s">
        <v>1010</v>
      </c>
      <c r="O270" s="8"/>
      <c r="P270" s="83" t="s">
        <v>1011</v>
      </c>
      <c r="Q270" s="14"/>
      <c r="R270" s="14"/>
      <c r="S270" s="15"/>
      <c r="T270" s="8"/>
      <c r="U270" s="8"/>
      <c r="V270" s="8"/>
      <c r="W270" s="8"/>
      <c r="X270" s="8"/>
      <c r="Y270" s="8"/>
      <c r="Z270" s="8"/>
      <c r="AA270" s="8"/>
      <c r="AB270" s="8"/>
      <c r="AC270" s="8"/>
    </row>
    <row r="271" ht="4.5" customHeight="1" hidden="1" spans="1:29" x14ac:dyDescent="0.25" outlineLevel="1" collapsed="1">
      <c r="A271" s="8"/>
      <c r="B271" s="8"/>
      <c r="C271" s="8"/>
      <c r="D271" s="8"/>
      <c r="E271" s="8"/>
      <c r="F271" s="8"/>
      <c r="G271" s="8"/>
      <c r="H271" s="8"/>
      <c r="I271" s="8"/>
      <c r="J271" s="8"/>
      <c r="K271" s="8"/>
      <c r="L271" s="8"/>
      <c r="M271" s="8"/>
      <c r="N271" s="8"/>
      <c r="O271" s="8"/>
      <c r="P271" s="182"/>
      <c r="Q271" s="123"/>
      <c r="R271" s="123"/>
      <c r="S271" s="276"/>
      <c r="T271" s="8"/>
      <c r="U271" s="8"/>
      <c r="V271" s="8"/>
      <c r="W271" s="8"/>
      <c r="X271" s="8"/>
      <c r="Y271" s="8"/>
      <c r="Z271" s="8"/>
      <c r="AA271" s="8"/>
      <c r="AB271" s="8"/>
      <c r="AC271" s="8"/>
    </row>
    <row r="272" ht="15" customHeight="1" hidden="1" spans="1:29" x14ac:dyDescent="0.25" outlineLevel="1" collapsed="1">
      <c r="A272" s="8"/>
      <c r="B272" s="8"/>
      <c r="C272" s="8" t="str">
        <f>'Segment Analysis'!C17</f>
        <v>Collection</v>
      </c>
      <c r="D272" s="8"/>
      <c r="E272" s="889">
        <f>SUM('Segment Analysis'!W71:X71,'Segment Analysis'!Z71:AA71)</f>
        <v>3650.152210679579</v>
      </c>
      <c r="F272" s="8"/>
      <c r="G272" s="719">
        <f>IF($G289=Comparables!$D$86,Valuation!$E$12,IF(Valuation!$G289=Comparables!$G$86,Valuation!$E$17,IF(Valuation!$G289=Comparables!$L$86,Valuation!$E$22,IF($G289=Company_Name,$D$12))))</f>
        <v>14.46947106879492</v>
      </c>
      <c r="H272" s="571"/>
      <c r="I272" s="890">
        <v>0</v>
      </c>
      <c r="J272" s="571"/>
      <c r="K272" s="571">
        <f t="shared" ref="K272:K277" si="27">G272+I272</f>
        <v>14.46947106879492</v>
      </c>
      <c r="L272" s="571"/>
      <c r="M272" s="571"/>
      <c r="N272" s="107">
        <f t="shared" ref="N272:N277" si="28">E272*K272</f>
        <v>52815.77180912599</v>
      </c>
      <c r="O272" s="8"/>
      <c r="P272" s="180" t="s">
        <v>971</v>
      </c>
      <c r="Q272" s="8"/>
      <c r="R272" s="8"/>
      <c r="S272" s="790">
        <f>SUM($N$272:$N$277)</f>
        <v>52815.77180912599</v>
      </c>
      <c r="T272" s="8"/>
      <c r="U272" s="8"/>
      <c r="V272" s="8"/>
      <c r="W272" s="8"/>
      <c r="X272" s="8"/>
      <c r="Y272" s="8"/>
      <c r="Z272" s="8"/>
      <c r="AA272" s="8"/>
      <c r="AB272" s="8"/>
      <c r="AC272" s="8"/>
    </row>
    <row r="273" ht="13.5" customHeight="1" hidden="1" spans="1:29" x14ac:dyDescent="0.25" outlineLevel="1" collapsed="1">
      <c r="A273" s="8"/>
      <c r="B273" s="8"/>
      <c r="C273" s="8" t="str">
        <f>'Segment Analysis'!C18</f>
        <v>Landfill</v>
      </c>
      <c r="D273" s="8"/>
      <c r="E273" s="889">
        <f>SUM('Segment Analysis'!W72:X72,'Segment Analysis'!Z72:AA72)</f>
        <v>0</v>
      </c>
      <c r="F273" s="8"/>
      <c r="G273" s="719">
        <f>IF($G290=Comparables!$D$86,Valuation!$E$12,IF(Valuation!$G290=Comparables!$G$86,Valuation!$E$17,IF(Valuation!$G290=Comparables!$L$86,Valuation!$E$22,IF($G290=Company_Name,$D$12))))</f>
        <v>14.46947106879492</v>
      </c>
      <c r="H273" s="571"/>
      <c r="I273" s="890">
        <v>0</v>
      </c>
      <c r="J273" s="571"/>
      <c r="K273" s="571">
        <f t="shared" si="27"/>
        <v>14.46947106879492</v>
      </c>
      <c r="L273" s="571"/>
      <c r="M273" s="571"/>
      <c r="N273" s="107">
        <f t="shared" si="28"/>
        <v>0</v>
      </c>
      <c r="O273" s="8"/>
      <c r="P273" s="180"/>
      <c r="Q273" s="8"/>
      <c r="R273" s="8"/>
      <c r="S273" s="181"/>
      <c r="T273" s="8"/>
      <c r="U273" s="8"/>
      <c r="V273" s="8"/>
      <c r="W273" s="8"/>
      <c r="X273" s="8"/>
      <c r="Y273" s="8"/>
      <c r="Z273" s="8"/>
      <c r="AA273" s="8"/>
      <c r="AB273" s="8"/>
      <c r="AC273" s="8"/>
    </row>
    <row r="274" ht="13.5" customHeight="1" hidden="1" spans="1:29" x14ac:dyDescent="0.25" outlineLevel="1" collapsed="1">
      <c r="A274" s="8"/>
      <c r="B274" s="8"/>
      <c r="C274" s="8" t="str">
        <f>'Segment Analysis'!C19</f>
        <v>Environmental solutions</v>
      </c>
      <c r="D274" s="8"/>
      <c r="E274" s="889">
        <f>SUM('Segment Analysis'!W73:X73,'Segment Analysis'!Z73:AA73)</f>
        <v>0</v>
      </c>
      <c r="F274" s="8"/>
      <c r="G274" s="719" t="b">
        <f>IF($G291=Comparables!$D$86,Valuation!$E$12,IF(Valuation!$G291=Comparables!$G$86,Valuation!$E$17,IF(Valuation!$G291=Comparables!$L$86,Valuation!$E$22,IF($G291=Company_Name,$D$12))))</f>
        <v>0</v>
      </c>
      <c r="H274" s="571"/>
      <c r="I274" s="890">
        <v>0</v>
      </c>
      <c r="J274" s="571"/>
      <c r="K274" s="571">
        <f t="shared" si="27"/>
        <v>0</v>
      </c>
      <c r="L274" s="571"/>
      <c r="M274" s="571"/>
      <c r="N274" s="107">
        <f t="shared" si="28"/>
        <v>0</v>
      </c>
      <c r="O274" s="8"/>
      <c r="P274" s="180" t="s">
        <v>974</v>
      </c>
      <c r="Q274" s="8"/>
      <c r="R274" s="8"/>
      <c r="S274" s="855">
        <f t="shared" ref="S274:S279" si="29">K66</f>
        <v>58.332247659647805</v>
      </c>
      <c r="T274" s="8"/>
      <c r="U274" s="8"/>
      <c r="V274" s="8"/>
      <c r="W274" s="8"/>
      <c r="X274" s="8"/>
      <c r="Y274" s="8"/>
      <c r="Z274" s="8"/>
      <c r="AA274" s="8"/>
      <c r="AB274" s="8"/>
      <c r="AC274" s="8"/>
    </row>
    <row r="275" ht="13.5" customHeight="1" hidden="1" spans="1:29" x14ac:dyDescent="0.25" outlineLevel="1" collapsed="1">
      <c r="A275" s="8"/>
      <c r="B275" s="8"/>
      <c r="C275" s="8" t="str">
        <f>'Segment Analysis'!C20</f>
        <v>Transfer</v>
      </c>
      <c r="D275" s="8"/>
      <c r="E275" s="889">
        <f>SUM('Segment Analysis'!W74:X74,'Segment Analysis'!Z74:AA74)</f>
        <v>122.48477616</v>
      </c>
      <c r="F275" s="8"/>
      <c r="G275" s="719" t="b">
        <f>IF($G292=Comparables!$D$86,Valuation!$E$12,IF(Valuation!$G292=Comparables!$G$86,Valuation!$E$17,IF(Valuation!$G292=Comparables!$L$86,Valuation!$E$22,IF($G292=Company_Name,$D$12))))</f>
        <v>0</v>
      </c>
      <c r="H275" s="571"/>
      <c r="I275" s="890">
        <v>0</v>
      </c>
      <c r="J275" s="571"/>
      <c r="K275" s="571">
        <f t="shared" si="27"/>
        <v>0</v>
      </c>
      <c r="L275" s="571"/>
      <c r="M275" s="571"/>
      <c r="N275" s="107">
        <f t="shared" si="28"/>
        <v>0</v>
      </c>
      <c r="O275" s="8"/>
      <c r="P275" s="180" t="s">
        <v>975</v>
      </c>
      <c r="Q275" s="8"/>
      <c r="R275" s="8"/>
      <c r="S275" s="794">
        <f t="shared" si="29"/>
        <v>0</v>
      </c>
      <c r="T275" s="8"/>
      <c r="U275" s="8"/>
      <c r="V275" s="8"/>
      <c r="W275" s="8"/>
      <c r="X275" s="8"/>
      <c r="Y275" s="8"/>
      <c r="Z275" s="8"/>
      <c r="AA275" s="8"/>
      <c r="AB275" s="8"/>
      <c r="AC275" s="8"/>
    </row>
    <row r="276" ht="13.5" customHeight="1" hidden="1" spans="1:29" x14ac:dyDescent="0.25" outlineLevel="1" collapsed="1">
      <c r="A276" s="8"/>
      <c r="B276" s="8"/>
      <c r="C276" s="8" t="str">
        <f>'Segment Analysis'!C21</f>
        <v>Other</v>
      </c>
      <c r="D276" s="8"/>
      <c r="E276" s="889">
        <f>SUM('Segment Analysis'!W75:X75,'Segment Analysis'!Z75:AA75)</f>
        <v>115.23977314000001</v>
      </c>
      <c r="F276" s="8"/>
      <c r="G276" s="719" t="b">
        <f>IF($G293=Comparables!$D$86,Valuation!$E$12,IF(Valuation!$G293=Comparables!$G$86,Valuation!$E$17,IF(Valuation!$G293=Comparables!$L$86,Valuation!$E$22,IF($G293=Company_Name,$D$12))))</f>
        <v>0</v>
      </c>
      <c r="H276" s="571"/>
      <c r="I276" s="890">
        <v>0</v>
      </c>
      <c r="J276" s="571"/>
      <c r="K276" s="571">
        <f t="shared" si="27"/>
        <v>0</v>
      </c>
      <c r="L276" s="571"/>
      <c r="M276" s="571"/>
      <c r="N276" s="107">
        <f t="shared" si="28"/>
        <v>0</v>
      </c>
      <c r="O276" s="8"/>
      <c r="P276" s="180" t="s">
        <v>976</v>
      </c>
      <c r="Q276" s="8"/>
      <c r="R276" s="8"/>
      <c r="S276" s="794">
        <f t="shared" si="29"/>
        <v>-12747.758563460919</v>
      </c>
      <c r="T276" s="8"/>
      <c r="U276" s="8"/>
      <c r="V276" s="8"/>
      <c r="W276" s="8"/>
      <c r="X276" s="8"/>
      <c r="Y276" s="8"/>
      <c r="Z276" s="8"/>
      <c r="AA276" s="8"/>
      <c r="AB276" s="8"/>
      <c r="AC276" s="8"/>
    </row>
    <row r="277" ht="13.5" customHeight="1" hidden="1" spans="1:29" x14ac:dyDescent="0.25" outlineLevel="1" collapsed="1">
      <c r="A277" s="8"/>
      <c r="B277" s="8"/>
      <c r="C277" s="8" t="str">
        <f>'Segment Analysis'!C22</f>
        <v>Professional Services and Other</v>
      </c>
      <c r="D277" s="8"/>
      <c r="E277" s="889">
        <f>SUM('Segment Analysis'!W76:X76,'Segment Analysis'!Z76:AA76)</f>
        <v>0</v>
      </c>
      <c r="F277" s="8"/>
      <c r="G277" s="719" t="b">
        <f>IF($G294=Comparables!$D$86,Valuation!$E$12,IF(Valuation!$G294=Comparables!$G$86,Valuation!$E$17,IF(Valuation!$G294=Comparables!$L$86,Valuation!$E$22,IF($G294=Company_Name,$D$12))))</f>
        <v>0</v>
      </c>
      <c r="H277" s="571"/>
      <c r="I277" s="890">
        <v>0</v>
      </c>
      <c r="J277" s="571"/>
      <c r="K277" s="571">
        <f t="shared" si="27"/>
        <v>0</v>
      </c>
      <c r="L277" s="571"/>
      <c r="M277" s="571"/>
      <c r="N277" s="107">
        <f t="shared" si="28"/>
        <v>0</v>
      </c>
      <c r="O277" s="8"/>
      <c r="P277" s="180" t="s">
        <v>979</v>
      </c>
      <c r="Q277" s="8"/>
      <c r="R277" s="8"/>
      <c r="S277" s="794">
        <f t="shared" si="29"/>
        <v>0</v>
      </c>
      <c r="T277" s="8"/>
      <c r="U277" s="8"/>
      <c r="V277" s="8"/>
      <c r="W277" s="8"/>
      <c r="X277" s="8"/>
      <c r="Y277" s="8"/>
      <c r="Z277" s="8"/>
      <c r="AA277" s="8"/>
      <c r="AB277" s="8"/>
      <c r="AC277" s="8"/>
    </row>
    <row r="278" ht="13.5" customHeight="1" hidden="1" spans="1:29" x14ac:dyDescent="0.25" outlineLevel="1" collapsed="1">
      <c r="A278" s="8"/>
      <c r="B278" s="8"/>
      <c r="C278" s="8"/>
      <c r="D278" s="8"/>
      <c r="E278" s="8"/>
      <c r="F278" s="8"/>
      <c r="G278" s="8"/>
      <c r="H278" s="8"/>
      <c r="I278" s="8"/>
      <c r="J278" s="8"/>
      <c r="K278" s="8"/>
      <c r="L278" s="8"/>
      <c r="M278" s="8"/>
      <c r="N278" s="8"/>
      <c r="O278" s="8"/>
      <c r="P278" s="180" t="s">
        <v>981</v>
      </c>
      <c r="Q278" s="8"/>
      <c r="R278" s="8"/>
      <c r="S278" s="794">
        <f t="shared" si="29"/>
        <v>0</v>
      </c>
      <c r="T278" s="8"/>
      <c r="U278" s="8"/>
      <c r="V278" s="8"/>
      <c r="W278" s="8"/>
      <c r="X278" s="8"/>
      <c r="Y278" s="8"/>
      <c r="Z278" s="8"/>
      <c r="AA278" s="8"/>
      <c r="AB278" s="8"/>
      <c r="AC278" s="8"/>
    </row>
    <row r="279" ht="13.5" customHeight="1" hidden="1" spans="1:29" x14ac:dyDescent="0.25" outlineLevel="1" collapsed="1">
      <c r="A279" s="8"/>
      <c r="B279" s="747"/>
      <c r="C279" s="675"/>
      <c r="D279" s="8"/>
      <c r="E279" s="8"/>
      <c r="F279" s="8"/>
      <c r="G279" s="8"/>
      <c r="H279" s="8"/>
      <c r="I279" s="8"/>
      <c r="J279" s="8"/>
      <c r="K279" s="8"/>
      <c r="L279" s="8"/>
      <c r="M279" s="8"/>
      <c r="N279" s="8"/>
      <c r="O279" s="8"/>
      <c r="P279" s="180" t="s">
        <v>982</v>
      </c>
      <c r="Q279" s="122"/>
      <c r="R279" s="8"/>
      <c r="S279" s="867">
        <f t="shared" si="29"/>
        <v>0</v>
      </c>
      <c r="T279" s="8"/>
      <c r="U279" s="8"/>
      <c r="V279" s="8"/>
      <c r="W279" s="8"/>
      <c r="X279" s="8"/>
      <c r="Y279" s="8"/>
      <c r="Z279" s="8"/>
      <c r="AA279" s="8"/>
      <c r="AB279" s="8"/>
      <c r="AC279" s="8"/>
    </row>
    <row r="280" ht="13.5" customHeight="1" hidden="1" spans="1:29" x14ac:dyDescent="0.25" outlineLevel="1" collapsed="1">
      <c r="A280" s="8"/>
      <c r="B280" s="747"/>
      <c r="C280" s="8"/>
      <c r="D280" s="75"/>
      <c r="E280" s="75"/>
      <c r="F280" s="340"/>
      <c r="G280" s="340"/>
      <c r="H280" s="340"/>
      <c r="I280" s="340"/>
      <c r="J280" s="340"/>
      <c r="K280" s="8"/>
      <c r="L280" s="8"/>
      <c r="M280" s="8"/>
      <c r="N280" s="8"/>
      <c r="O280" s="8"/>
      <c r="P280" s="182"/>
      <c r="Q280" s="8"/>
      <c r="R280" s="123"/>
      <c r="S280" s="181"/>
      <c r="T280" s="8"/>
      <c r="U280" s="8"/>
      <c r="V280" s="8"/>
      <c r="W280" s="8"/>
      <c r="X280" s="8"/>
      <c r="Y280" s="8"/>
      <c r="Z280" s="8"/>
      <c r="AA280" s="8"/>
      <c r="AB280" s="8"/>
      <c r="AC280" s="8"/>
    </row>
    <row r="281" ht="13.5" customHeight="1" hidden="1" spans="1:29" x14ac:dyDescent="0.25" outlineLevel="1" collapsed="1">
      <c r="A281" s="8"/>
      <c r="B281" s="747"/>
      <c r="C281" s="75"/>
      <c r="D281" s="753"/>
      <c r="E281" s="753"/>
      <c r="F281" s="753"/>
      <c r="G281" s="753"/>
      <c r="H281" s="753"/>
      <c r="I281" s="753"/>
      <c r="J281" s="753"/>
      <c r="K281" s="8"/>
      <c r="L281" s="8"/>
      <c r="M281" s="8"/>
      <c r="N281" s="8"/>
      <c r="O281" s="8"/>
      <c r="P281" s="180" t="s">
        <v>983</v>
      </c>
      <c r="Q281" s="8"/>
      <c r="R281" s="8"/>
      <c r="S281" s="853">
        <f>SUM(S272:S279)</f>
        <v>40125.34549332472</v>
      </c>
      <c r="T281" s="8"/>
      <c r="U281" s="8"/>
      <c r="V281" s="8"/>
      <c r="W281" s="8"/>
      <c r="X281" s="8"/>
      <c r="Y281" s="8"/>
      <c r="Z281" s="8"/>
      <c r="AA281" s="8"/>
      <c r="AB281" s="8"/>
      <c r="AC281" s="8"/>
    </row>
    <row r="282" ht="13.5" customHeight="1" hidden="1" spans="1:29" x14ac:dyDescent="0.25" outlineLevel="1" collapsed="1">
      <c r="A282" s="8"/>
      <c r="B282" s="8"/>
      <c r="C282" s="75"/>
      <c r="D282" s="753"/>
      <c r="E282" s="753"/>
      <c r="F282" s="753"/>
      <c r="G282" s="753"/>
      <c r="H282" s="753"/>
      <c r="I282" s="753"/>
      <c r="J282" s="753"/>
      <c r="K282" s="8"/>
      <c r="L282" s="8"/>
      <c r="M282" s="8"/>
      <c r="N282" s="8"/>
      <c r="O282" s="8"/>
      <c r="P282" s="180" t="s">
        <v>415</v>
      </c>
      <c r="Q282" s="8"/>
      <c r="R282" s="8"/>
      <c r="S282" s="884">
        <f>Diluted_Shares</f>
        <v>0</v>
      </c>
      <c r="T282" s="8"/>
      <c r="U282" s="8"/>
      <c r="V282" s="8"/>
      <c r="W282" s="8"/>
      <c r="X282" s="8"/>
      <c r="Y282" s="8"/>
      <c r="Z282" s="8"/>
      <c r="AA282" s="8"/>
      <c r="AB282" s="8"/>
      <c r="AC282" s="8"/>
    </row>
    <row r="283" ht="13.5" customHeight="1" hidden="1" spans="1:29" x14ac:dyDescent="0.25" outlineLevel="1" collapsed="1">
      <c r="A283" s="8"/>
      <c r="B283" s="8"/>
      <c r="C283" s="8"/>
      <c r="D283" s="8"/>
      <c r="E283" s="8"/>
      <c r="F283" s="8"/>
      <c r="G283" s="8"/>
      <c r="H283" s="8"/>
      <c r="I283" s="8"/>
      <c r="J283" s="8"/>
      <c r="K283" s="8"/>
      <c r="L283" s="8"/>
      <c r="M283" s="8"/>
      <c r="N283" s="8"/>
      <c r="O283" s="8"/>
      <c r="P283" s="180"/>
      <c r="Q283" s="8"/>
      <c r="R283" s="8"/>
      <c r="S283" s="181"/>
      <c r="T283" s="8"/>
      <c r="U283" s="8"/>
      <c r="V283" s="8"/>
      <c r="W283" s="8"/>
      <c r="X283" s="8"/>
      <c r="Y283" s="8"/>
      <c r="Z283" s="8"/>
      <c r="AA283" s="8"/>
      <c r="AB283" s="8"/>
      <c r="AC283" s="8"/>
    </row>
    <row r="284" ht="13.5" customHeight="1" hidden="1" spans="1:29" x14ac:dyDescent="0.25" outlineLevel="1" collapsed="1">
      <c r="A284" s="8"/>
      <c r="B284" s="8"/>
      <c r="C284" s="675"/>
      <c r="D284" s="8"/>
      <c r="E284" s="8"/>
      <c r="F284" s="8"/>
      <c r="G284" s="8"/>
      <c r="H284" s="8"/>
      <c r="I284" s="8"/>
      <c r="J284" s="8"/>
      <c r="K284" s="8"/>
      <c r="L284" s="8"/>
      <c r="M284" s="8"/>
      <c r="N284" s="8"/>
      <c r="O284" s="8"/>
      <c r="P284" s="180" t="s">
        <v>972</v>
      </c>
      <c r="Q284" s="8"/>
      <c r="R284" s="8"/>
      <c r="S284" s="853">
        <f>S281/S282</f>
        <v>128.4833349129834</v>
      </c>
      <c r="T284" s="8"/>
      <c r="U284" s="8"/>
      <c r="V284" s="8"/>
      <c r="W284" s="8"/>
      <c r="X284" s="8"/>
      <c r="Y284" s="8"/>
      <c r="Z284" s="8"/>
      <c r="AA284" s="8"/>
      <c r="AB284" s="8"/>
      <c r="AC284" s="8"/>
    </row>
    <row r="285" ht="13.5" customHeight="1" hidden="1" spans="1:29" x14ac:dyDescent="0.25" outlineLevel="1" collapsed="1">
      <c r="A285" s="8"/>
      <c r="B285" s="8"/>
      <c r="C285" s="8"/>
      <c r="D285" s="75"/>
      <c r="E285" s="75"/>
      <c r="F285" s="75"/>
      <c r="G285" s="75"/>
      <c r="H285" s="75"/>
      <c r="I285" s="75"/>
      <c r="J285" s="75"/>
      <c r="K285" s="8"/>
      <c r="L285" s="8"/>
      <c r="M285" s="8"/>
      <c r="N285" s="8"/>
      <c r="O285" s="8"/>
      <c r="P285" s="304" t="s">
        <v>973</v>
      </c>
      <c r="Q285" s="122"/>
      <c r="R285" s="122"/>
      <c r="S285" s="804">
        <f>S284/Share_Price-1</f>
        <v>-0.37795528969749026</v>
      </c>
      <c r="T285" s="8"/>
      <c r="U285" s="8"/>
      <c r="V285" s="8"/>
      <c r="W285" s="8"/>
      <c r="X285" s="8"/>
      <c r="Y285" s="8"/>
      <c r="Z285" s="8"/>
      <c r="AA285" s="8"/>
      <c r="AB285" s="8"/>
      <c r="AC285" s="8"/>
    </row>
    <row r="286" ht="4.5" customHeight="1" hidden="1" spans="1:29" x14ac:dyDescent="0.25" outlineLevel="1" collapsed="1">
      <c r="A286" s="8"/>
      <c r="B286" s="8"/>
      <c r="C286" s="75"/>
      <c r="D286" s="753"/>
      <c r="E286" s="753"/>
      <c r="F286" s="753"/>
      <c r="G286" s="753"/>
      <c r="H286" s="753"/>
      <c r="I286" s="753"/>
      <c r="J286" s="753"/>
      <c r="K286" s="8"/>
      <c r="L286" s="8"/>
      <c r="M286" s="8"/>
      <c r="N286" s="8"/>
      <c r="O286" s="8"/>
      <c r="P286" s="8"/>
      <c r="Q286" s="8"/>
      <c r="R286" s="8"/>
      <c r="S286" s="8"/>
      <c r="T286" s="8"/>
      <c r="U286" s="8"/>
      <c r="V286" s="8"/>
      <c r="W286" s="8"/>
      <c r="X286" s="8"/>
      <c r="Y286" s="8"/>
      <c r="Z286" s="8"/>
      <c r="AA286" s="8"/>
      <c r="AB286" s="8"/>
      <c r="AC286" s="8"/>
    </row>
    <row r="287" ht="13.5" customHeight="1" hidden="1" spans="1:29" x14ac:dyDescent="0.25" outlineLevel="1" collapsed="1">
      <c r="A287" s="257" t="s">
        <v>3</v>
      </c>
      <c r="B287" s="8"/>
      <c r="C287" s="540" t="s">
        <v>43</v>
      </c>
      <c r="D287" s="541"/>
      <c r="E287" s="541"/>
      <c r="F287" s="541"/>
      <c r="G287" s="891"/>
      <c r="H287" s="891"/>
      <c r="I287" s="891"/>
      <c r="J287" s="891"/>
      <c r="K287" s="891"/>
      <c r="L287" s="891"/>
      <c r="M287" s="891"/>
      <c r="N287" s="891"/>
      <c r="O287" s="891"/>
      <c r="P287" s="891"/>
      <c r="Q287" s="891"/>
      <c r="R287" s="891"/>
      <c r="S287" s="892"/>
      <c r="T287" s="257" t="s">
        <v>3</v>
      </c>
      <c r="U287" s="8"/>
      <c r="V287" s="8"/>
      <c r="W287" s="8"/>
      <c r="X287" s="8"/>
      <c r="Y287" s="8"/>
      <c r="Z287" s="8"/>
      <c r="AA287" s="8"/>
      <c r="AB287" s="8"/>
      <c r="AC287" s="8"/>
    </row>
    <row r="288" ht="4.5" customHeight="1" hidden="1" spans="1:29" x14ac:dyDescent="0.25" outlineLevel="1" collapsed="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ht="13.5" customHeight="1" hidden="1" spans="1:29" x14ac:dyDescent="0.25" outlineLevel="1" collapsed="1">
      <c r="A289" s="8"/>
      <c r="B289" s="8"/>
      <c r="C289" s="8" t="str">
        <f t="shared" ref="C289:C294" si="30">"Multiple Used for "&amp;C272</f>
        <v>Multiple Used for Collection</v>
      </c>
      <c r="D289" s="8"/>
      <c r="E289" s="8"/>
      <c r="F289" s="8"/>
      <c r="G289" s="35" t="s">
        <v>668</v>
      </c>
      <c r="H289" s="8"/>
      <c r="I289" s="8"/>
      <c r="J289" s="8"/>
      <c r="K289" s="8"/>
      <c r="L289" s="8"/>
      <c r="M289" s="8"/>
      <c r="N289" s="8"/>
      <c r="O289" s="8"/>
      <c r="P289" s="8"/>
      <c r="Q289" s="8"/>
      <c r="R289" s="8"/>
      <c r="S289" s="8"/>
      <c r="T289" s="8"/>
      <c r="U289" s="8"/>
      <c r="V289" s="8"/>
      <c r="W289" s="8"/>
      <c r="X289" s="8"/>
      <c r="Y289" s="8"/>
      <c r="Z289" s="8"/>
      <c r="AA289" s="8"/>
      <c r="AB289" s="8"/>
      <c r="AC289" s="8"/>
    </row>
    <row r="290" ht="13.5" customHeight="1" hidden="1" spans="1:29" x14ac:dyDescent="0.25" outlineLevel="1" collapsed="1">
      <c r="A290" s="8"/>
      <c r="B290" s="8"/>
      <c r="C290" s="8" t="str">
        <f t="shared" si="30"/>
        <v>Multiple Used for Landfill</v>
      </c>
      <c r="D290" s="8"/>
      <c r="E290" s="8"/>
      <c r="F290" s="8"/>
      <c r="G290" s="35" t="s">
        <v>668</v>
      </c>
      <c r="H290" s="8"/>
      <c r="I290" s="8"/>
      <c r="J290" s="8"/>
      <c r="K290" s="8"/>
      <c r="L290" s="8"/>
      <c r="M290" s="8"/>
      <c r="N290" s="8"/>
      <c r="O290" s="8"/>
      <c r="P290" s="8"/>
      <c r="Q290" s="8"/>
      <c r="R290" s="8"/>
      <c r="S290" s="8"/>
      <c r="T290" s="8"/>
      <c r="U290" s="8"/>
      <c r="V290" s="8"/>
      <c r="W290" s="8"/>
      <c r="X290" s="8"/>
      <c r="Y290" s="8"/>
      <c r="Z290" s="8"/>
      <c r="AA290" s="8"/>
      <c r="AB290" s="8"/>
      <c r="AC290" s="8"/>
    </row>
    <row r="291" ht="13.5" customHeight="1" hidden="1" spans="1:29" x14ac:dyDescent="0.25" outlineLevel="1" collapsed="1">
      <c r="A291" s="8"/>
      <c r="B291" s="8"/>
      <c r="C291" s="8" t="str">
        <f t="shared" si="30"/>
        <v>Multiple Used for Environmental solutions</v>
      </c>
      <c r="D291" s="8"/>
      <c r="E291" s="8"/>
      <c r="F291" s="8"/>
      <c r="G291" s="35" t="s">
        <v>1012</v>
      </c>
      <c r="H291" s="8"/>
      <c r="I291" s="8"/>
      <c r="J291" s="8"/>
      <c r="K291" s="8"/>
      <c r="L291" s="8"/>
      <c r="M291" s="8"/>
      <c r="N291" s="8"/>
      <c r="O291" s="8"/>
      <c r="P291" s="8"/>
      <c r="Q291" s="8"/>
      <c r="R291" s="8"/>
      <c r="S291" s="8"/>
      <c r="T291" s="8"/>
      <c r="U291" s="8"/>
      <c r="V291" s="8"/>
      <c r="W291" s="8"/>
      <c r="X291" s="8"/>
      <c r="Y291" s="8"/>
      <c r="Z291" s="8"/>
      <c r="AA291" s="8"/>
      <c r="AB291" s="8"/>
      <c r="AC291" s="8"/>
    </row>
    <row r="292" ht="13.5" customHeight="1" hidden="1" spans="1:29" x14ac:dyDescent="0.25" outlineLevel="1" collapsed="1">
      <c r="A292" s="8"/>
      <c r="B292" s="8"/>
      <c r="C292" s="8" t="str">
        <f t="shared" si="30"/>
        <v>Multiple Used for Transfer</v>
      </c>
      <c r="D292" s="8"/>
      <c r="E292" s="8"/>
      <c r="F292" s="8"/>
      <c r="G292" s="35" t="s">
        <v>1012</v>
      </c>
      <c r="H292" s="8"/>
      <c r="I292" s="8"/>
      <c r="J292" s="8"/>
      <c r="K292" s="8"/>
      <c r="L292" s="8"/>
      <c r="M292" s="8"/>
      <c r="N292" s="8"/>
      <c r="O292" s="8"/>
      <c r="P292" s="8"/>
      <c r="Q292" s="8"/>
      <c r="R292" s="8"/>
      <c r="S292" s="8"/>
      <c r="T292" s="8"/>
      <c r="U292" s="8"/>
      <c r="V292" s="8"/>
      <c r="W292" s="8"/>
      <c r="X292" s="8"/>
      <c r="Y292" s="8"/>
      <c r="Z292" s="8"/>
      <c r="AA292" s="8"/>
      <c r="AB292" s="8"/>
      <c r="AC292" s="8"/>
    </row>
    <row r="293" ht="13.5" customHeight="1" hidden="1" spans="1:29" x14ac:dyDescent="0.25" outlineLevel="1" collapsed="1">
      <c r="A293" s="8"/>
      <c r="B293" s="8"/>
      <c r="C293" s="8" t="str">
        <f t="shared" si="30"/>
        <v>Multiple Used for Other</v>
      </c>
      <c r="D293" s="8"/>
      <c r="E293" s="8"/>
      <c r="F293" s="8"/>
      <c r="G293" s="35" t="s">
        <v>1012</v>
      </c>
      <c r="H293" s="8"/>
      <c r="I293" s="8"/>
      <c r="J293" s="8"/>
      <c r="K293" s="8"/>
      <c r="L293" s="8"/>
      <c r="M293" s="8"/>
      <c r="N293" s="8"/>
      <c r="O293" s="8"/>
      <c r="P293" s="8"/>
      <c r="Q293" s="8"/>
      <c r="R293" s="8"/>
      <c r="S293" s="8"/>
      <c r="T293" s="8"/>
      <c r="U293" s="8"/>
      <c r="V293" s="8"/>
      <c r="W293" s="8"/>
      <c r="X293" s="8"/>
      <c r="Y293" s="8"/>
      <c r="Z293" s="8"/>
      <c r="AA293" s="8"/>
      <c r="AB293" s="8"/>
      <c r="AC293" s="8"/>
    </row>
    <row r="294" ht="13.5" customHeight="1" hidden="1" spans="1:29" x14ac:dyDescent="0.25" outlineLevel="1" collapsed="1">
      <c r="A294" s="8"/>
      <c r="B294" s="8"/>
      <c r="C294" s="8" t="str">
        <f t="shared" si="30"/>
        <v>Multiple Used for Professional Services and Other</v>
      </c>
      <c r="D294" s="8"/>
      <c r="E294" s="8"/>
      <c r="F294" s="8"/>
      <c r="G294" s="35" t="s">
        <v>1012</v>
      </c>
      <c r="H294" s="8"/>
      <c r="I294" s="8"/>
      <c r="J294" s="8"/>
      <c r="K294" s="8"/>
      <c r="L294" s="8"/>
      <c r="M294" s="8"/>
      <c r="N294" s="8"/>
      <c r="O294" s="8"/>
      <c r="P294" s="8"/>
      <c r="Q294" s="8"/>
      <c r="R294" s="8"/>
      <c r="S294" s="8"/>
      <c r="T294" s="8"/>
      <c r="U294" s="8"/>
      <c r="V294" s="8"/>
      <c r="W294" s="8"/>
      <c r="X294" s="8"/>
      <c r="Y294" s="8"/>
      <c r="Z294" s="8"/>
      <c r="AA294" s="8"/>
      <c r="AB294" s="8"/>
      <c r="AC294" s="8"/>
    </row>
    <row r="295" ht="13.5" customHeight="1" hidden="1" spans="1:29"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ht="13.5" customHeight="1" hidden="1" spans="1:29" x14ac:dyDescent="0.25">
      <c r="A296" s="257" t="s">
        <v>3</v>
      </c>
      <c r="B296" s="257" t="s">
        <v>3</v>
      </c>
      <c r="C296" s="893" t="s">
        <v>260</v>
      </c>
      <c r="D296" s="101"/>
      <c r="E296" s="101"/>
      <c r="F296" s="101"/>
      <c r="G296" s="102"/>
      <c r="H296" s="102"/>
      <c r="I296" s="102"/>
      <c r="J296" s="102"/>
      <c r="K296" s="102"/>
      <c r="L296" s="102"/>
      <c r="M296" s="102"/>
      <c r="N296" s="102"/>
      <c r="O296" s="102"/>
      <c r="P296" s="102"/>
      <c r="Q296" s="102"/>
      <c r="R296" s="102"/>
      <c r="S296" s="102"/>
      <c r="T296" s="257" t="s">
        <v>3</v>
      </c>
      <c r="U296" s="8"/>
      <c r="V296" s="8"/>
      <c r="W296" s="8"/>
      <c r="X296" s="8"/>
      <c r="Y296" s="8"/>
      <c r="Z296" s="8"/>
      <c r="AA296" s="8"/>
      <c r="AB296" s="8"/>
      <c r="AC296" s="8"/>
    </row>
    <row r="297" ht="13.5" customHeight="1" hidden="1" spans="1:29"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ht="13.5" customHeight="1" spans="1:29"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ht="13.5" customHeight="1" spans="1:29" x14ac:dyDescent="0.25">
      <c r="A299" s="257"/>
      <c r="B299" s="257"/>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ht="13.5" customHeight="1" spans="1:29"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ht="13.5" customHeight="1" spans="1:29"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ht="13.5" customHeight="1" spans="1:29"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ht="13.5" customHeight="1" spans="1:29"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ht="13.5" customHeight="1" spans="1:29"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ht="13.5" customHeight="1" spans="1:29"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ht="13.5" customHeight="1" spans="1:29"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ht="13.5" customHeight="1" spans="1:29"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ht="13.5" customHeight="1" spans="1:29"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ht="13.5" customHeight="1" spans="1:29"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ht="13.5" customHeight="1" spans="1:29"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ht="13.5" customHeight="1" spans="1:29"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ht="13.5" customHeight="1" spans="1:29"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ht="13.5" customHeight="1" spans="1:29"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ht="13.5" customHeight="1" spans="1:29"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ht="13.5" customHeight="1" spans="1:29"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ht="13.5" customHeight="1" spans="1:29"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ht="13.5" customHeight="1" spans="1:29"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ht="13.5" customHeight="1" spans="1:29"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ht="13.5" customHeight="1" spans="1:29"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ht="13.5" customHeight="1" spans="1:29"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ht="13.5" customHeight="1" spans="1:29"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ht="13.5" customHeight="1" spans="1:29"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ht="13.5" customHeight="1" spans="1:29"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ht="13.5" customHeight="1" spans="1:29"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ht="13.5" customHeight="1" spans="1:29"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ht="13.5" customHeight="1" spans="1:29"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ht="13.5" customHeight="1" spans="1:29"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ht="13.5" customHeight="1" spans="1:29"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ht="13.5" customHeight="1" spans="1:29"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ht="13.5" customHeight="1" spans="1:29"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ht="13.5" customHeight="1" spans="1:29"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ht="13.5" customHeight="1" spans="1:29"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ht="13.5" customHeight="1" spans="1:29"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ht="13.5" customHeight="1" spans="1:29"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ht="13.5" customHeight="1" spans="1:29"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ht="13.5" customHeight="1" spans="1:29"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ht="13.5" customHeight="1" spans="1:29"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ht="13.5" customHeight="1" spans="1:29"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ht="13.5" customHeight="1" spans="1:29"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ht="13.5" customHeight="1" spans="1:29"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ht="13.5" customHeight="1" spans="1:29"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ht="13.5" customHeight="1" spans="1:29"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ht="13.5" customHeight="1" spans="1:29"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ht="13.5" customHeight="1" spans="1:29"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ht="13.5" customHeight="1" spans="1:29"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ht="13.5" customHeight="1" spans="1:29"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ht="13.5" customHeight="1" spans="1:29"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ht="13.5" customHeight="1" spans="1:29"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ht="13.5" customHeight="1" spans="1:29"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ht="13.5" customHeight="1" spans="1:29"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ht="13.5" customHeight="1" spans="1:29"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ht="13.5" customHeight="1" spans="1:29"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ht="13.5" customHeight="1" spans="1:29"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ht="13.5" customHeight="1" spans="1:29"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ht="13.5" customHeight="1" spans="1:29"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ht="13.5" customHeight="1" spans="1:29"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ht="13.5" customHeight="1" spans="1:29"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ht="13.5" customHeight="1" spans="1:29"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ht="13.5" customHeight="1" spans="1:29"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ht="13.5" customHeight="1" spans="1:29"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ht="13.5" customHeight="1" spans="1:29"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ht="13.5" customHeight="1" spans="1:29"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ht="13.5" customHeight="1" spans="1:29"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ht="13.5" customHeight="1" spans="1:29"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ht="13.5" customHeight="1" spans="1:29"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ht="13.5" customHeight="1" spans="1:29"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ht="13.5" customHeight="1" spans="1:29"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ht="13.5" customHeight="1" spans="1:29"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ht="13.5" customHeight="1" spans="1:29"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ht="13.5" customHeight="1" spans="1:29"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ht="13.5" customHeight="1" spans="1:29"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ht="13.5" customHeight="1" spans="1:29"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ht="13.5" customHeight="1" spans="1:29"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ht="13.5" customHeight="1" spans="1:29"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ht="13.5" customHeight="1" spans="1:29"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ht="13.5" customHeight="1" spans="1:29"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ht="13.5" customHeight="1" spans="1:29"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ht="13.5" customHeight="1" spans="1:29"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ht="13.5" customHeight="1" spans="1:29"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ht="13.5" customHeight="1" spans="1:29"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ht="13.5" customHeight="1" spans="1:29"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ht="13.5" customHeight="1" spans="1:29"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ht="13.5" customHeight="1" spans="1:29"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ht="13.5" customHeight="1" spans="1:29"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ht="13.5" customHeight="1" spans="1:29"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ht="13.5" customHeight="1" spans="1:29"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ht="13.5" customHeight="1" spans="1:29"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ht="13.5" customHeight="1" spans="1:29"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ht="13.5" customHeight="1" spans="1:29"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ht="13.5" customHeight="1" spans="1:29"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ht="13.5" customHeight="1" spans="1:29"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ht="13.5" customHeight="1" spans="1:29"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ht="13.5" customHeight="1" spans="1:29"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ht="13.5" customHeight="1" spans="1:29"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ht="13.5" customHeight="1" spans="1:29"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ht="13.5" customHeight="1" spans="1:29"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ht="13.5" customHeight="1" spans="1:29"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ht="13.5" customHeight="1" spans="1:29"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ht="13.5" customHeight="1" spans="1:29"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ht="13.5" customHeight="1" spans="1:29"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ht="13.5" customHeight="1" spans="1:29"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ht="13.5" customHeight="1" spans="1:29"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ht="13.5" customHeight="1" spans="1:29"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ht="13.5" customHeight="1" spans="1:29"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ht="13.5" customHeight="1" spans="1:29"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ht="13.5" customHeight="1" spans="1:29"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ht="13.5" customHeight="1" spans="1:29"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ht="13.5" customHeight="1" spans="1:29"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ht="13.5" customHeight="1" spans="1:29"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ht="13.5" customHeight="1" spans="1:29"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ht="13.5" customHeight="1" spans="1:29"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ht="13.5" customHeight="1" spans="1:29"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ht="13.5" customHeight="1" spans="1:29"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ht="13.5" customHeight="1" spans="1:29"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ht="13.5" customHeight="1" spans="1:29"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ht="13.5" customHeight="1" spans="1:29"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ht="13.5" customHeight="1" spans="1:29"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ht="13.5" customHeight="1" spans="1:29"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ht="13.5" customHeight="1" spans="1:29"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ht="13.5" customHeight="1" spans="1:29"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ht="13.5" customHeight="1" spans="1:29"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ht="13.5" customHeight="1" spans="1:29"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ht="13.5" customHeight="1" spans="1:29"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ht="13.5" customHeight="1" spans="1:29"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ht="13.5" customHeight="1" spans="1:29"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ht="13.5" customHeight="1" spans="1:29"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ht="13.5" customHeight="1" spans="1:29"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ht="13.5" customHeight="1" spans="1:29"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ht="13.5" customHeight="1" spans="1:29"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ht="13.5" customHeight="1" spans="1:29"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ht="13.5" customHeight="1" spans="1:29"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ht="13.5" customHeight="1" spans="1:29"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ht="13.5" customHeight="1" spans="1:29"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ht="13.5" customHeight="1" spans="1:29"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ht="13.5" customHeight="1" spans="1:29"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ht="13.5" customHeight="1" spans="1:29"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ht="13.5" customHeight="1" spans="1:29"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ht="13.5" customHeight="1" spans="1:29"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ht="13.5" customHeight="1" spans="1:29"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ht="13.5" customHeight="1" spans="1:29"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ht="13.5" customHeight="1" spans="1:29"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ht="13.5" customHeight="1" spans="1:29"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ht="13.5" customHeight="1" spans="1:29"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ht="13.5" customHeight="1" spans="1:29"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ht="13.5" customHeight="1" spans="1:29"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ht="13.5" customHeight="1" spans="1:29"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ht="13.5" customHeight="1" spans="1:29"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ht="13.5" customHeight="1" spans="1:29"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ht="13.5" customHeight="1" spans="1:29"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ht="13.5" customHeight="1" spans="1:29"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ht="13.5" customHeight="1" spans="1:29"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ht="13.5" customHeight="1" spans="1:29"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ht="13.5" customHeight="1" spans="1:29"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ht="13.5" customHeight="1" spans="1:29"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ht="13.5" customHeight="1" spans="1:29"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ht="13.5" customHeight="1" spans="1:29"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ht="13.5" customHeight="1" spans="1:29"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ht="13.5" customHeight="1" spans="1:29"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ht="13.5" customHeight="1" spans="1:29"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ht="13.5" customHeight="1" spans="1:29"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ht="13.5" customHeight="1" spans="1:29"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ht="13.5" customHeight="1" spans="1:29"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ht="13.5" customHeight="1" spans="1:29"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ht="13.5" customHeight="1" spans="1:29"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ht="13.5" customHeight="1" spans="1:29"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ht="13.5" customHeight="1" spans="1:29"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ht="13.5" customHeight="1" spans="1:29"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ht="13.5" customHeight="1" spans="1:29"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ht="13.5" customHeight="1" spans="1:29"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ht="13.5" customHeight="1" spans="1:29"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ht="13.5" customHeight="1" spans="1:29"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ht="13.5" customHeight="1" spans="1:29"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ht="13.5" customHeight="1" spans="1:29"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ht="13.5" customHeight="1" spans="1:29"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ht="13.5" customHeight="1" spans="1:29"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ht="13.5" customHeight="1" spans="1:29"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ht="13.5" customHeight="1" spans="1:29"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ht="13.5" customHeight="1" spans="1:29"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ht="13.5" customHeight="1" spans="1:29"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ht="13.5" customHeight="1" spans="1:29"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ht="13.5" customHeight="1" spans="1:29"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ht="13.5" customHeight="1" spans="1:29"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ht="13.5" customHeight="1" spans="1:29"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ht="13.5" customHeight="1" spans="1:29"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ht="13.5" customHeight="1" spans="1:29"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ht="13.5" customHeight="1" spans="1:29"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ht="13.5" customHeight="1" spans="1:29"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ht="13.5" customHeight="1" spans="1:29"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ht="13.5" customHeight="1" spans="1:29"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ht="13.5" customHeight="1" spans="1:29"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ht="13.5" customHeight="1" spans="1:29"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ht="13.5" customHeight="1" spans="1:29"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ht="13.5" customHeight="1" spans="1:29"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ht="13.5" customHeight="1" spans="1:29"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ht="13.5" customHeight="1" spans="1:29"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ht="13.5" customHeight="1" spans="1:29"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ht="13.5" customHeight="1" spans="1:29"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ht="13.5" customHeight="1" spans="1:29"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ht="13.5" customHeight="1" spans="1:29"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ht="13.5" customHeight="1" spans="1:29"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ht="13.5" customHeight="1" spans="1:29"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ht="13.5" customHeight="1" spans="1:29"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ht="13.5" customHeight="1" spans="1:29"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ht="13.5" customHeight="1" spans="1:29"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ht="13.5" customHeight="1" spans="1:29"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ht="13.5" customHeight="1" spans="1:29"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ht="13.5" customHeight="1" spans="1:29"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ht="13.5" customHeight="1" spans="1:29"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ht="13.5" customHeight="1" spans="1:29"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ht="13.5" customHeight="1" spans="1:29"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ht="13.5" customHeight="1" spans="1:29"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ht="13.5" customHeight="1" spans="1:29"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ht="13.5" customHeight="1" spans="1:29"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ht="13.5" customHeight="1" spans="1:29"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ht="13.5" customHeight="1" spans="1:29"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ht="13.5" customHeight="1" spans="1:29"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ht="13.5" customHeight="1" spans="1:29"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ht="13.5" customHeight="1" spans="1:29"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ht="13.5" customHeight="1" spans="1:29"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ht="13.5" customHeight="1" spans="1:29"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ht="13.5" customHeight="1" spans="1:29"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ht="13.5" customHeight="1" spans="1:29"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ht="13.5" customHeight="1" spans="1:29"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ht="13.5" customHeight="1" spans="1:29"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ht="13.5" customHeight="1" spans="1:29"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ht="13.5" customHeight="1" spans="1:29"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ht="13.5" customHeight="1" spans="1:29"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ht="13.5" customHeight="1" spans="1:29"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ht="13.5" customHeight="1" spans="1:29"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ht="13.5" customHeight="1" spans="1:29"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ht="13.5" customHeight="1" spans="1:29"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ht="13.5" customHeight="1" spans="1:29"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ht="13.5" customHeight="1" spans="1:29"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ht="13.5" customHeight="1" spans="1:29"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ht="13.5" customHeight="1" spans="1:29"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ht="13.5" customHeight="1" spans="1:29"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ht="13.5" customHeight="1" spans="1:29"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ht="13.5" customHeight="1" spans="1:29"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ht="13.5" customHeight="1" spans="1:29"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ht="13.5" customHeight="1" spans="1:29"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ht="13.5" customHeight="1" spans="1:29"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ht="13.5" customHeight="1" spans="1:29"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ht="13.5" customHeight="1" spans="1:29"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ht="13.5" customHeight="1" spans="1:29"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ht="13.5" customHeight="1" spans="1:29"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ht="13.5" customHeight="1" spans="1:29"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ht="13.5" customHeight="1" spans="1:29"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ht="13.5" customHeight="1" spans="1:29"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ht="13.5" customHeight="1" spans="1:29"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ht="13.5" customHeight="1" spans="1:29"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ht="13.5" customHeight="1" spans="1:29"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ht="13.5" customHeight="1" spans="1:29"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ht="13.5" customHeight="1" spans="1:29"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ht="13.5" customHeight="1" spans="1:29"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ht="13.5" customHeight="1" spans="1:29"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ht="13.5" customHeight="1" spans="1:29"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ht="13.5" customHeight="1" spans="1:29"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ht="13.5" customHeight="1" spans="1:29"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ht="13.5" customHeight="1" spans="1:29"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ht="13.5" customHeight="1" spans="1:29"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ht="13.5" customHeight="1" spans="1:29"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ht="13.5" customHeight="1" spans="1:29"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ht="13.5" customHeight="1" spans="1:29"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ht="13.5" customHeight="1" spans="1:29"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ht="13.5" customHeight="1" spans="1:29"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ht="13.5" customHeight="1" spans="1:29"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ht="13.5" customHeight="1" spans="1:29"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ht="13.5" customHeight="1" spans="1:29"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ht="13.5" customHeight="1" spans="1:29"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ht="13.5" customHeight="1" spans="1:29"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ht="13.5" customHeight="1" spans="1:29"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ht="13.5" customHeight="1" spans="1:29"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ht="13.5" customHeight="1" spans="1:29"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ht="13.5" customHeight="1" spans="1:29"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ht="13.5" customHeight="1" spans="1:29"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ht="13.5" customHeight="1" spans="1:29"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ht="13.5" customHeight="1" spans="1:29"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ht="13.5" customHeight="1" spans="1:29"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ht="13.5" customHeight="1" spans="1:29"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ht="13.5" customHeight="1" spans="1:29"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ht="13.5" customHeight="1" spans="1:29"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ht="13.5" customHeight="1" spans="1:29"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ht="13.5" customHeight="1" spans="1:29"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ht="13.5" customHeight="1" spans="1:29"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ht="13.5" customHeight="1" spans="1:29"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ht="13.5" customHeight="1" spans="1:29"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ht="13.5" customHeight="1" spans="1:29"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ht="13.5" customHeight="1" spans="1:29"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ht="13.5" customHeight="1" spans="1:29"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ht="13.5" customHeight="1" spans="1:29"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ht="13.5" customHeight="1" spans="1:29"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ht="13.5" customHeight="1" spans="1:29"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ht="13.5" customHeight="1" spans="1:29"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ht="13.5" customHeight="1" spans="1:29"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ht="13.5" customHeight="1" spans="1:29"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ht="13.5" customHeight="1" spans="1:29"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ht="13.5" customHeight="1" spans="1:29"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ht="13.5" customHeight="1" spans="1:29"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ht="13.5" customHeight="1" spans="1:29"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ht="13.5" customHeight="1" spans="1:29"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ht="13.5" customHeight="1" spans="1:29"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ht="13.5" customHeight="1" spans="1:29"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ht="13.5" customHeight="1" spans="1:29"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ht="13.5" customHeight="1" spans="1:29"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ht="13.5" customHeight="1" spans="1:29"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ht="13.5" customHeight="1" spans="1:29"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ht="13.5" customHeight="1" spans="1:29"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ht="13.5" customHeight="1" spans="1:29"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ht="13.5" customHeight="1" spans="1:29"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ht="13.5" customHeight="1" spans="1:29"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ht="13.5" customHeight="1" spans="1:29"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ht="13.5" customHeight="1" spans="1:29"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ht="13.5" customHeight="1" spans="1:29"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ht="13.5" customHeight="1" spans="1:29"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ht="13.5" customHeight="1" spans="1:29"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ht="13.5" customHeight="1" spans="1:29"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ht="13.5" customHeight="1" spans="1:29"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ht="13.5" customHeight="1" spans="1:29"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ht="13.5" customHeight="1" spans="1:29"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ht="13.5" customHeight="1" spans="1:29"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ht="13.5" customHeight="1" spans="1:29"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ht="13.5" customHeight="1" spans="1:29"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ht="13.5" customHeight="1" spans="1:29"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ht="13.5" customHeight="1" spans="1:29"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ht="13.5" customHeight="1" spans="1:29"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ht="13.5" customHeight="1" spans="1:29"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ht="13.5" customHeight="1" spans="1:29"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ht="13.5" customHeight="1" spans="1:29"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ht="13.5" customHeight="1" spans="1:29"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ht="13.5" customHeight="1" spans="1:29"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ht="13.5" customHeight="1" spans="1:29"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ht="13.5" customHeight="1" spans="1:29"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ht="13.5" customHeight="1" spans="1:29"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ht="13.5" customHeight="1" spans="1:29"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ht="13.5" customHeight="1" spans="1:29"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ht="13.5" customHeight="1" spans="1:29"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ht="13.5" customHeight="1" spans="1:29"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ht="13.5" customHeight="1" spans="1:29"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ht="13.5" customHeight="1" spans="1:29"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ht="13.5" customHeight="1" spans="1:29"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ht="13.5" customHeight="1" spans="1:29"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ht="13.5" customHeight="1" spans="1:29"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ht="13.5" customHeight="1" spans="1:29"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ht="13.5" customHeight="1" spans="1:29"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ht="13.5" customHeight="1" spans="1:29"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ht="13.5" customHeight="1" spans="1:29"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ht="13.5" customHeight="1" spans="1:29"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ht="13.5" customHeight="1" spans="1:29"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ht="13.5" customHeight="1" spans="1:29"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ht="13.5" customHeight="1" spans="1:29"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ht="13.5" customHeight="1" spans="1:29"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ht="13.5" customHeight="1" spans="1:29"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ht="13.5" customHeight="1" spans="1:29"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ht="13.5" customHeight="1" spans="1:29"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ht="13.5" customHeight="1" spans="1:29"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ht="13.5" customHeight="1" spans="1:29"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ht="13.5" customHeight="1" spans="1:29"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ht="13.5" customHeight="1" spans="1:29"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ht="13.5" customHeight="1" spans="1:29"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ht="13.5" customHeight="1" spans="1:29"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ht="13.5" customHeight="1" spans="1:29"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ht="13.5" customHeight="1" spans="1:29"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ht="13.5" customHeight="1" spans="1:29"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ht="13.5" customHeight="1" spans="1:29"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ht="13.5" customHeight="1" spans="1:29"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ht="13.5" customHeight="1" spans="1:29"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ht="13.5" customHeight="1" spans="1:29"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ht="13.5" customHeight="1" spans="1:29"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ht="13.5" customHeight="1" spans="1:29"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ht="13.5" customHeight="1" spans="1:29"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ht="13.5" customHeight="1" spans="1:29"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ht="13.5" customHeight="1" spans="1:29"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ht="13.5" customHeight="1" spans="1:29"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ht="13.5" customHeight="1" spans="1:29"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ht="13.5" customHeight="1" spans="1:29"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ht="13.5" customHeight="1" spans="1:29"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ht="13.5" customHeight="1" spans="1:29"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ht="13.5" customHeight="1" spans="1:29"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ht="13.5" customHeight="1" spans="1:29"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ht="13.5" customHeight="1" spans="1:29"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ht="13.5" customHeight="1" spans="1:29"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ht="13.5" customHeight="1" spans="1:29"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ht="13.5" customHeight="1" spans="1:29"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ht="13.5" customHeight="1" spans="1:29"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ht="13.5" customHeight="1" spans="1:29"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ht="13.5" customHeight="1" spans="1:29"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ht="13.5" customHeight="1" spans="1:29"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ht="13.5" customHeight="1" spans="1:29"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ht="13.5" customHeight="1" spans="1:29"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ht="13.5" customHeight="1" spans="1:29"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ht="13.5" customHeight="1" spans="1:29"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ht="13.5" customHeight="1" spans="1:29"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ht="13.5" customHeight="1" spans="1:29"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ht="13.5" customHeight="1" spans="1:29"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ht="13.5" customHeight="1" spans="1:29"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ht="13.5" customHeight="1" spans="1:29"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ht="13.5" customHeight="1" spans="1:29"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ht="13.5" customHeight="1" spans="1:29"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ht="13.5" customHeight="1" spans="1:29"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ht="13.5" customHeight="1" spans="1:29"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ht="13.5" customHeight="1" spans="1:29"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ht="13.5" customHeight="1" spans="1:29"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ht="13.5" customHeight="1" spans="1:29"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ht="13.5" customHeight="1" spans="1:29"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ht="13.5" customHeight="1" spans="1:29"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ht="13.5" customHeight="1" spans="1:29"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ht="13.5" customHeight="1" spans="1:29"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ht="13.5" customHeight="1" spans="1:29"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ht="13.5" customHeight="1" spans="1:29"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ht="13.5" customHeight="1" spans="1:29"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ht="13.5" customHeight="1" spans="1:29"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ht="13.5" customHeight="1" spans="1:29"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ht="13.5" customHeight="1" spans="1:29"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ht="13.5" customHeight="1" spans="1:29"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ht="13.5" customHeight="1" spans="1:29"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ht="13.5" customHeight="1" spans="1:29"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ht="13.5" customHeight="1" spans="1:29"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ht="13.5" customHeight="1" spans="1:29"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ht="13.5" customHeight="1" spans="1:29"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ht="13.5" customHeight="1" spans="1:29"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ht="13.5" customHeight="1" spans="1:29"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ht="13.5" customHeight="1" spans="1:29"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ht="13.5" customHeight="1" spans="1:29"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ht="13.5" customHeight="1" spans="1:29"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ht="13.5" customHeight="1" spans="1:29"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ht="13.5" customHeight="1" spans="1:29"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ht="13.5" customHeight="1" spans="1:29"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ht="13.5" customHeight="1" spans="1:29"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ht="13.5" customHeight="1" spans="1:29"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ht="13.5" customHeight="1" spans="1:29"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ht="13.5" customHeight="1" spans="1:29"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ht="13.5" customHeight="1" spans="1:29"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ht="13.5" customHeight="1" spans="1:29"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ht="13.5" customHeight="1" spans="1:29"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ht="13.5" customHeight="1" spans="1:29"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ht="13.5" customHeight="1" spans="1:29"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ht="13.5" customHeight="1" spans="1:29"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ht="13.5" customHeight="1" spans="1:29"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ht="13.5" customHeight="1" spans="1:29"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ht="13.5" customHeight="1" spans="1:29"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ht="13.5" customHeight="1" spans="1:29"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ht="13.5" customHeight="1" spans="1:29"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ht="13.5" customHeight="1" spans="1:29"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ht="13.5" customHeight="1" spans="1:29"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ht="13.5" customHeight="1" spans="1:29"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ht="13.5" customHeight="1" spans="1:29"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ht="13.5" customHeight="1" spans="1:29"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ht="13.5" customHeight="1" spans="1:29"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ht="13.5" customHeight="1" spans="1:29"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ht="13.5" customHeight="1" spans="1:29"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ht="13.5" customHeight="1" spans="1:29"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ht="13.5" customHeight="1" spans="1:29"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ht="13.5" customHeight="1" spans="1:29"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ht="13.5" customHeight="1" spans="1:29"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ht="13.5" customHeight="1" spans="1:29"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ht="13.5" customHeight="1" spans="1:29"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ht="13.5" customHeight="1" spans="1:29"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ht="13.5" customHeight="1" spans="1:29"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ht="13.5" customHeight="1" spans="1:29"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ht="13.5" customHeight="1" spans="1:29"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ht="13.5" customHeight="1" spans="1:29"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ht="13.5" customHeight="1" spans="1:29"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ht="13.5" customHeight="1" spans="1:29"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ht="13.5" customHeight="1" spans="1:29"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ht="13.5" customHeight="1" spans="1:29"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ht="13.5" customHeight="1" spans="1:29"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ht="13.5" customHeight="1" spans="1:29"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ht="13.5" customHeight="1" spans="1:29"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ht="13.5" customHeight="1" spans="1:29"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ht="13.5" customHeight="1" spans="1:29"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ht="13.5" customHeight="1" spans="1:29"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ht="13.5" customHeight="1" spans="1:29"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ht="13.5" customHeight="1" spans="1:29"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ht="13.5" customHeight="1" spans="1:29"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ht="13.5" customHeight="1" spans="1:29"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ht="13.5" customHeight="1" spans="1:29"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ht="13.5" customHeight="1" spans="1:29"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ht="13.5" customHeight="1" spans="1:29"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ht="13.5" customHeight="1" spans="1:29"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ht="13.5" customHeight="1" spans="1:29"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ht="13.5" customHeight="1" spans="1:29"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ht="13.5" customHeight="1" spans="1:29"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ht="13.5" customHeight="1" spans="1:29"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ht="13.5" customHeight="1" spans="1:29"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ht="13.5" customHeight="1" spans="1:29"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ht="13.5" customHeight="1" spans="1:29"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ht="13.5" customHeight="1" spans="1:29"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ht="13.5" customHeight="1" spans="1:29"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ht="13.5" customHeight="1" spans="1:29"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ht="13.5" customHeight="1" spans="1:29"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ht="13.5" customHeight="1" spans="1:29"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3.5" customHeight="1" spans="1:29"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3.5" customHeight="1" spans="1:29"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3.5" customHeight="1" spans="1:29"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3.5" customHeight="1" spans="1:29"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3.5" customHeight="1" spans="1:29"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3.5" customHeight="1" spans="1:29"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3.5" customHeight="1" spans="1:29"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3.5" customHeight="1" spans="1:29"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3.5" customHeight="1" spans="1:29"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3.5" customHeight="1" spans="1:29"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3.5" customHeight="1" spans="1:29"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3.5" customHeight="1" spans="1:29"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3.5" customHeight="1" spans="1:29"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3.5" customHeight="1" spans="1:29"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3.5" customHeight="1" spans="1:29"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3.5" customHeight="1" spans="1:29"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3.5" customHeight="1" spans="1:29"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3.5" customHeight="1" spans="1:29"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3.5" customHeight="1" spans="1:29"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3.5" customHeight="1" spans="1:29"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3.5" customHeight="1" spans="1:29"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3.5" customHeight="1" spans="1:29"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3.5" customHeight="1" spans="1:29"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3.5" customHeight="1" spans="1:29"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3.5" customHeight="1" spans="1:29"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3.5" customHeight="1" spans="1:29"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3.5" customHeight="1" spans="1:29"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3.5" customHeight="1" spans="1:29"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3.5" customHeight="1" spans="1:29"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3.5" customHeight="1" spans="1:29"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3.5" customHeight="1" spans="1:29"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3.5" customHeight="1" spans="1:29"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3.5" customHeight="1" spans="1:29"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3.5" customHeight="1" spans="1:29"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3.5" customHeight="1" spans="1:29"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3.5" customHeight="1" spans="1:29"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3.5" customHeight="1" spans="1:29"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3.5" customHeight="1" spans="1:29"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3.5" customHeight="1" spans="1:29"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3.5" customHeight="1" spans="1:29"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3.5" customHeight="1" spans="1:29"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3.5" customHeight="1" spans="1:29"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3.5" customHeight="1" spans="1:29"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3.5" customHeight="1" spans="1:29"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3.5" customHeight="1" spans="1:29"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3.5" customHeight="1" spans="1:29"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3.5" customHeight="1" spans="1:29"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3.5" customHeight="1" spans="1:29"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3.5" customHeight="1" spans="1:29"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3.5" customHeight="1" spans="1:29"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3.5" customHeight="1" spans="1:29"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3.5" customHeight="1" spans="1:29"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3.5" customHeight="1" spans="1:29"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3.5" customHeight="1" spans="1:29"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3.5" customHeight="1" spans="1:29"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3.5" customHeight="1" spans="1:29"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3.5" customHeight="1" spans="1:29"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3.5" customHeight="1" spans="1:29"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3.5" customHeight="1" spans="1:29"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3.5" customHeight="1" spans="1:29"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3.5" customHeight="1" spans="1:29"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3.5" customHeight="1" spans="1:29"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3.5" customHeight="1" spans="1:29"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3.5" customHeight="1" spans="1:29"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3.5" customHeight="1" spans="1:29"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3.5" customHeight="1" spans="1:29"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3.5" customHeight="1" spans="1:29"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3.5" customHeight="1" spans="1:29"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3.5" customHeight="1" spans="1:29"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3.5" customHeight="1" spans="1:29"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3.5" customHeight="1" spans="1:29"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3.5" customHeight="1" spans="1:29"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3.5" customHeight="1" spans="1:29"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3.5" customHeight="1" spans="1:29"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3.5" customHeight="1" spans="1:29"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3.5" customHeight="1" spans="1:29"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3.5" customHeight="1" spans="1:29"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3.5" customHeight="1" spans="1:29"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3.5" customHeight="1" spans="1:29"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3.5" customHeight="1" spans="1:29"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3.5" customHeight="1" spans="1:29"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3.5" customHeight="1" spans="1:29"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3.5" customHeight="1" spans="1:29"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3.5" customHeight="1" spans="1:29"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3.5" customHeight="1" spans="1:29"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3.5" customHeight="1" spans="1:29"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3.5" customHeight="1" spans="1:29"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3.5" customHeight="1" spans="1:29"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3.5" customHeight="1" spans="1:29"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3.5" customHeight="1" spans="1:29"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3.5" customHeight="1" spans="1:29"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3.5" customHeight="1" spans="1:29"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3.5" customHeight="1" spans="1:29"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3.5" customHeight="1" spans="1:29"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3.5" customHeight="1" spans="1:29"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3.5" customHeight="1" spans="1:29"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3.5" customHeight="1" spans="1:29"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3.5" customHeight="1" spans="1:29"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3.5" customHeight="1" spans="1:29"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3.5" customHeight="1" spans="1:29"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3.5" customHeight="1" spans="1:29"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3.5" customHeight="1" spans="1:29"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3.5" customHeight="1" spans="1:29"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3.5" customHeight="1" spans="1:29"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3.5" customHeight="1" spans="1:29"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3.5" customHeight="1" spans="1:29"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3.5" customHeight="1" spans="1:29"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3.5" customHeight="1" spans="1:29"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3.5" customHeight="1" spans="1:29"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3.5" customHeight="1" spans="1:29"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3.5" customHeight="1" spans="1:29"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3.5" customHeight="1" spans="1:29"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3.5" customHeight="1" spans="1:29"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3.5" customHeight="1" spans="1:29"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3.5" customHeight="1" spans="1:29"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3.5" customHeight="1" spans="1:29"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3.5" customHeight="1" spans="1:29"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3.5" customHeight="1" spans="1:29"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3.5" customHeight="1" spans="1:29"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3.5" customHeight="1" spans="1:29"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3.5" customHeight="1" spans="1:29"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3.5" customHeight="1" spans="1:29"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3.5" customHeight="1" spans="1:29"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3.5" customHeight="1" spans="1:29"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3.5" customHeight="1" spans="1:29"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3.5" customHeight="1" spans="1:29"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3.5" customHeight="1" spans="1:29"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3.5" customHeight="1" spans="1:29"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3.5" customHeight="1" spans="1:29"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3.5" customHeight="1" spans="1:29"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3.5" customHeight="1" spans="1:29"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3.5" customHeight="1" spans="1:29"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3.5" customHeight="1" spans="1:29"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3.5" customHeight="1" spans="1:29"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3.5" customHeight="1" spans="1:29"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3.5" customHeight="1" spans="1:29"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3.5" customHeight="1" spans="1:29"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3.5" customHeight="1" spans="1:29"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3.5" customHeight="1" spans="1:29"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3.5" customHeight="1" spans="1:29"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3.5" customHeight="1" spans="1:29"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3.5" customHeight="1" spans="1:29"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3.5" customHeight="1" spans="1:29"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3.5" customHeight="1" spans="1:29"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3.5" customHeight="1" spans="1:29"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3.5" customHeight="1" spans="1:29"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3.5" customHeight="1" spans="1:29"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3.5" customHeight="1" spans="1:29"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3.5" customHeight="1" spans="1:29"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3.5" customHeight="1" spans="1:29"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3.5" customHeight="1" spans="1:29"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3.5" customHeight="1" spans="1:29"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3.5" customHeight="1" spans="1:29"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3.5" customHeight="1" spans="1:29"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3.5" customHeight="1" spans="1:29"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3.5" customHeight="1" spans="1:29"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3.5" customHeight="1" spans="1:29"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3.5" customHeight="1" spans="1:29"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3.5" customHeight="1" spans="1:29"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3.5" customHeight="1" spans="1:29"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3.5" customHeight="1" spans="1:29"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3.5" customHeight="1" spans="1:29"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3.5" customHeight="1" spans="1:29"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3.5" customHeight="1" spans="1:29"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3.5" customHeight="1" spans="1:29"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3.5" customHeight="1" spans="1:29"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3.5" customHeight="1" spans="1:29"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3.5" customHeight="1" spans="1:29"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3.5" customHeight="1" spans="1:29"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3.5" customHeight="1" spans="1:29"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3.5" customHeight="1" spans="1:29"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3.5" customHeight="1" spans="1:29"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3.5" customHeight="1" spans="1:29"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3.5" customHeight="1" spans="1:29"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3.5" customHeight="1" spans="1:29"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3.5" customHeight="1" spans="1:29"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3.5" customHeight="1" spans="1:29"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3.5" customHeight="1" spans="1:29"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3.5" customHeight="1" spans="1:29"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3.5" customHeight="1" spans="1:29"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3.5" customHeight="1" spans="1:29"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3.5" customHeight="1" spans="1:29"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3.5" customHeight="1" spans="1:29"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3.5" customHeight="1" spans="1:29"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3.5" customHeight="1" spans="1:29"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3.5" customHeight="1" spans="1:29"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3.5" customHeight="1" spans="1:29"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3.5" customHeight="1" spans="1:29"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3.5" customHeight="1" spans="1:29"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3.5" customHeight="1" spans="1:29"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3.5" customHeight="1" spans="1:29"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3.5" customHeight="1" spans="1:29"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3.5" customHeight="1" spans="1:29"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3.5" customHeight="1" spans="1:29"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3.5" customHeight="1" spans="1:29"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3.5" customHeight="1" spans="1:29"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3.5" customHeight="1" spans="1:29"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3.5" customHeight="1" spans="1:29"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3.5" customHeight="1" spans="1:29"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3.5" customHeight="1" spans="1:29"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3.5" customHeight="1" spans="1:29"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3.5" customHeight="1" spans="1:29"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3.5" customHeight="1" spans="1:29"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3.5" customHeight="1" spans="1:29"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3.5" customHeight="1" spans="1:29"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3.5" customHeight="1" spans="1:29"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3.5" customHeight="1" spans="1:29"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3.5" customHeight="1" spans="1:29"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ht="13.5" customHeight="1" spans="1:29"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81">
    <mergeCell ref="C4:S4"/>
    <mergeCell ref="M6:S6"/>
    <mergeCell ref="C9:J9"/>
    <mergeCell ref="G57:K57"/>
    <mergeCell ref="O57:S57"/>
    <mergeCell ref="Y57:AC57"/>
    <mergeCell ref="C81:S81"/>
    <mergeCell ref="I83:J83"/>
    <mergeCell ref="C90:S90"/>
    <mergeCell ref="D95:J95"/>
    <mergeCell ref="M95:S95"/>
    <mergeCell ref="F97:J97"/>
    <mergeCell ref="O97:S97"/>
    <mergeCell ref="D99:D103"/>
    <mergeCell ref="M99:M103"/>
    <mergeCell ref="F105:J105"/>
    <mergeCell ref="O105:S105"/>
    <mergeCell ref="D107:D111"/>
    <mergeCell ref="M107:M111"/>
    <mergeCell ref="C114:S114"/>
    <mergeCell ref="D116:F116"/>
    <mergeCell ref="H116:J116"/>
    <mergeCell ref="M116:O116"/>
    <mergeCell ref="Q116:S116"/>
    <mergeCell ref="C140:S140"/>
    <mergeCell ref="J142:K142"/>
    <mergeCell ref="C149:S149"/>
    <mergeCell ref="D158:J158"/>
    <mergeCell ref="M158:S158"/>
    <mergeCell ref="F160:J160"/>
    <mergeCell ref="O160:S160"/>
    <mergeCell ref="D162:D166"/>
    <mergeCell ref="M162:M166"/>
    <mergeCell ref="F168:J168"/>
    <mergeCell ref="O168:S168"/>
    <mergeCell ref="D170:D174"/>
    <mergeCell ref="M170:M174"/>
    <mergeCell ref="F176:J176"/>
    <mergeCell ref="O176:S176"/>
    <mergeCell ref="D178:D182"/>
    <mergeCell ref="M178:M182"/>
    <mergeCell ref="F184:J184"/>
    <mergeCell ref="O184:S184"/>
    <mergeCell ref="D186:D190"/>
    <mergeCell ref="M186:M190"/>
    <mergeCell ref="C192:S192"/>
    <mergeCell ref="D194:F194"/>
    <mergeCell ref="H194:J194"/>
    <mergeCell ref="M194:O194"/>
    <mergeCell ref="Q194:S194"/>
    <mergeCell ref="C218:S218"/>
    <mergeCell ref="K220:M220"/>
    <mergeCell ref="N220:O220"/>
    <mergeCell ref="P220:Q220"/>
    <mergeCell ref="K221:M221"/>
    <mergeCell ref="N221:O221"/>
    <mergeCell ref="P221:Q221"/>
    <mergeCell ref="K222:M222"/>
    <mergeCell ref="N222:O222"/>
    <mergeCell ref="P222:Q222"/>
    <mergeCell ref="C225:S225"/>
    <mergeCell ref="D234:J234"/>
    <mergeCell ref="M234:S234"/>
    <mergeCell ref="F236:J236"/>
    <mergeCell ref="O236:S236"/>
    <mergeCell ref="D238:D242"/>
    <mergeCell ref="M238:M242"/>
    <mergeCell ref="F244:J244"/>
    <mergeCell ref="O244:S244"/>
    <mergeCell ref="D246:D250"/>
    <mergeCell ref="M246:M250"/>
    <mergeCell ref="F252:J252"/>
    <mergeCell ref="O252:S252"/>
    <mergeCell ref="D254:D258"/>
    <mergeCell ref="M254:M258"/>
    <mergeCell ref="F260:J260"/>
    <mergeCell ref="O260:S260"/>
    <mergeCell ref="D262:D266"/>
    <mergeCell ref="M262:M266"/>
    <mergeCell ref="C268:S268"/>
    <mergeCell ref="P270:S270"/>
  </mergeCells>
  <conditionalFormatting sqref="C7:G7 K59:L79 S59:S79 G83:G87 E92:Q93 E101 H106 E109 F118:F127 O118:O131 O133:O138 G142:G145 H161 E164 H169 E172 H177 E180 H185 E188 O196:O204 F196:F205 O211:O216 G220:G223 H237 E240 H245 E248 H253 E256 H261 E264 S272:S274 I272:I277 S280:S285">
    <cfRule type="expression" dxfId="40" priority="3">
      <formula>$S$2="Report"</formula>
    </cfRule>
  </conditionalFormatting>
  <conditionalFormatting sqref="F92">
    <cfRule type="expression" dxfId="41" priority="4">
      <formula>F92&lt;&gt;0</formula>
    </cfRule>
    <cfRule type="expression" dxfId="42" priority="5">
      <formula>$AR$2="Report"</formula>
    </cfRule>
    <cfRule type="expression" dxfId="43" priority="6">
      <formula>F92&lt;&gt;0</formula>
    </cfRule>
    <cfRule type="expression" dxfId="44" priority="7">
      <formula>$AR$2="Report"</formula>
    </cfRule>
  </conditionalFormatting>
  <conditionalFormatting sqref="F121">
    <cfRule type="cellIs" dxfId="45" priority="8" operator="between">
      <formula>0.15</formula>
      <formula>0.3</formula>
    </cfRule>
  </conditionalFormatting>
  <conditionalFormatting sqref="F131:F132">
    <cfRule type="expression" dxfId="46" priority="9">
      <formula>$S$2="Report"</formula>
    </cfRule>
  </conditionalFormatting>
  <conditionalFormatting sqref="F151">
    <cfRule type="expression" dxfId="47" priority="10">
      <formula>$S$2="Report"</formula>
    </cfRule>
    <cfRule type="expression" dxfId="48" priority="11">
      <formula>F151&lt;&gt;0</formula>
    </cfRule>
    <cfRule type="expression" dxfId="49" priority="12">
      <formula>$AR$2="Report"</formula>
    </cfRule>
  </conditionalFormatting>
  <conditionalFormatting sqref="F154">
    <cfRule type="expression" dxfId="50" priority="13">
      <formula>$S$2="Report"</formula>
    </cfRule>
    <cfRule type="expression" dxfId="51" priority="14">
      <formula>F154&lt;&gt;0</formula>
    </cfRule>
    <cfRule type="expression" dxfId="52" priority="15">
      <formula>$AR$2="Report"</formula>
    </cfRule>
  </conditionalFormatting>
  <conditionalFormatting sqref="F199">
    <cfRule type="cellIs" dxfId="53" priority="16" operator="between">
      <formula>0.15</formula>
      <formula>0.3</formula>
    </cfRule>
  </conditionalFormatting>
  <conditionalFormatting sqref="F227">
    <cfRule type="expression" dxfId="54" priority="17">
      <formula>$S$2="Report"</formula>
    </cfRule>
  </conditionalFormatting>
  <conditionalFormatting sqref="F227:F229">
    <cfRule type="expression" dxfId="55" priority="18">
      <formula>F227&lt;&gt;0</formula>
    </cfRule>
    <cfRule type="expression" dxfId="56" priority="19">
      <formula>$AR$2="Report"</formula>
    </cfRule>
  </conditionalFormatting>
  <conditionalFormatting sqref="F230">
    <cfRule type="expression" dxfId="57" priority="20">
      <formula>$S$2="Report"</formula>
    </cfRule>
  </conditionalFormatting>
  <conditionalFormatting sqref="F230:F231">
    <cfRule type="expression" dxfId="58" priority="21">
      <formula>F230&lt;&gt;0</formula>
    </cfRule>
    <cfRule type="expression" dxfId="59" priority="22">
      <formula>$AR$2="Report"</formula>
    </cfRule>
  </conditionalFormatting>
  <conditionalFormatting sqref="G58:T59 G60:L60 N60:S60 G61:T77 K79:L79 S79 AC79 M127:M133">
    <cfRule type="expression" dxfId="60" priority="23">
      <formula>$S$4=1</formula>
    </cfRule>
  </conditionalFormatting>
  <conditionalFormatting sqref="H98">
    <cfRule type="expression" dxfId="61" priority="24">
      <formula>$S$2="Report"</formula>
    </cfRule>
  </conditionalFormatting>
  <conditionalFormatting sqref="H144">
    <cfRule type="cellIs" dxfId="62" priority="25" operator="equal">
      <formula>"FALSE"</formula>
    </cfRule>
  </conditionalFormatting>
  <conditionalFormatting sqref="H222">
    <cfRule type="cellIs" dxfId="63" priority="26" operator="equal">
      <formula>"FALSE"</formula>
    </cfRule>
  </conditionalFormatting>
  <conditionalFormatting sqref="H31:I31">
    <cfRule type="expression" dxfId="64" priority="27">
      <formula>$AG$11="On"</formula>
    </cfRule>
  </conditionalFormatting>
  <conditionalFormatting sqref="J84:J87">
    <cfRule type="expression" dxfId="65" priority="28">
      <formula>$S$2="Report"</formula>
    </cfRule>
  </conditionalFormatting>
  <conditionalFormatting sqref="K92:L92">
    <cfRule type="expression" dxfId="66" priority="32">
      <formula>$AR$2="Report"</formula>
    </cfRule>
    <cfRule type="expression" dxfId="67" priority="29">
      <formula>K92&lt;&gt;0</formula>
    </cfRule>
    <cfRule type="expression" dxfId="68" priority="30">
      <formula>$AR$2="Report"</formula>
    </cfRule>
    <cfRule type="expression" dxfId="69" priority="31">
      <formula>K92&lt;&gt;0</formula>
    </cfRule>
  </conditionalFormatting>
  <conditionalFormatting sqref="L131 J131:J134">
    <cfRule type="expression" dxfId="70" priority="1">
      <formula>$S$2="Report"</formula>
    </cfRule>
  </conditionalFormatting>
  <conditionalFormatting sqref="M9:M10">
    <cfRule type="expression" dxfId="71" priority="33">
      <formula>$S$2="Report"</formula>
    </cfRule>
    <cfRule type="cellIs" dxfId="72" priority="34" operator="between">
      <formula>0.15</formula>
      <formula>0.3</formula>
    </cfRule>
  </conditionalFormatting>
  <conditionalFormatting sqref="M12:M15">
    <cfRule type="expression" dxfId="73" priority="35">
      <formula>$S$2="Report"</formula>
    </cfRule>
    <cfRule type="cellIs" dxfId="74" priority="36" operator="between">
      <formula>0.15</formula>
      <formula>0.3</formula>
    </cfRule>
  </conditionalFormatting>
  <conditionalFormatting sqref="M17:M20">
    <cfRule type="expression" dxfId="75" priority="37">
      <formula>$S$2="Report"</formula>
    </cfRule>
    <cfRule type="cellIs" dxfId="76" priority="38" operator="between">
      <formula>0.15</formula>
      <formula>0.3</formula>
    </cfRule>
  </conditionalFormatting>
  <conditionalFormatting sqref="M22">
    <cfRule type="expression" dxfId="77" priority="39">
      <formula>$S$2="Report"</formula>
    </cfRule>
    <cfRule type="cellIs" dxfId="78" priority="40" operator="between">
      <formula>0.15</formula>
      <formula>0.3</formula>
    </cfRule>
  </conditionalFormatting>
  <conditionalFormatting sqref="M151">
    <cfRule type="expression" dxfId="79" priority="41">
      <formula>$S$2="Report"</formula>
    </cfRule>
  </conditionalFormatting>
  <conditionalFormatting sqref="M151:M153">
    <cfRule type="expression" dxfId="80" priority="43">
      <formula>$AR$2="Report"</formula>
    </cfRule>
    <cfRule type="expression" dxfId="81" priority="42">
      <formula>M151&lt;&gt;0</formula>
    </cfRule>
  </conditionalFormatting>
  <conditionalFormatting sqref="M154">
    <cfRule type="expression" dxfId="82" priority="44">
      <formula>$S$2="Report"</formula>
    </cfRule>
  </conditionalFormatting>
  <conditionalFormatting sqref="M154:M155">
    <cfRule type="expression" dxfId="83" priority="45">
      <formula>M154&lt;&gt;0</formula>
    </cfRule>
    <cfRule type="expression" dxfId="84" priority="46">
      <formula>$AR$2="Report"</formula>
    </cfRule>
  </conditionalFormatting>
  <conditionalFormatting sqref="M205:M211">
    <cfRule type="expression" dxfId="85" priority="47">
      <formula>$S$4=1</formula>
    </cfRule>
  </conditionalFormatting>
  <conditionalFormatting sqref="M227">
    <cfRule type="expression" dxfId="86" priority="48">
      <formula>$S$2="Report"</formula>
    </cfRule>
  </conditionalFormatting>
  <conditionalFormatting sqref="M227:M229">
    <cfRule type="expression" dxfId="87" priority="49">
      <formula>M227&lt;&gt;0</formula>
    </cfRule>
    <cfRule type="expression" dxfId="88" priority="50">
      <formula>$AR$2="Report"</formula>
    </cfRule>
  </conditionalFormatting>
  <conditionalFormatting sqref="M230">
    <cfRule type="expression" dxfId="89" priority="51">
      <formula>$S$2="Report"</formula>
    </cfRule>
  </conditionalFormatting>
  <conditionalFormatting sqref="M230:M231">
    <cfRule type="expression" dxfId="90" priority="52">
      <formula>M230&lt;&gt;0</formula>
    </cfRule>
    <cfRule type="expression" dxfId="91" priority="53">
      <formula>$AR$2="Report"</formula>
    </cfRule>
  </conditionalFormatting>
  <conditionalFormatting sqref="O121">
    <cfRule type="cellIs" dxfId="92" priority="54" operator="between">
      <formula>0.15</formula>
      <formula>0.3</formula>
    </cfRule>
  </conditionalFormatting>
  <conditionalFormatting sqref="O127:O132">
    <cfRule type="expression" dxfId="93" priority="55">
      <formula>$S$4=1</formula>
    </cfRule>
  </conditionalFormatting>
  <conditionalFormatting sqref="O199">
    <cfRule type="cellIs" dxfId="94" priority="56" operator="between">
      <formula>0.15</formula>
      <formula>0.3</formula>
    </cfRule>
  </conditionalFormatting>
  <conditionalFormatting sqref="O205:O210">
    <cfRule type="expression" dxfId="95" priority="57">
      <formula>$S$4=1</formula>
    </cfRule>
  </conditionalFormatting>
  <conditionalFormatting sqref="O99:S103">
    <cfRule type="cellIs" dxfId="96" priority="58" operator="between">
      <formula>0.15</formula>
      <formula>0.3</formula>
    </cfRule>
  </conditionalFormatting>
  <conditionalFormatting sqref="O107:S111">
    <cfRule type="cellIs" dxfId="97" priority="59" operator="between">
      <formula>0.15</formula>
      <formula>0.3</formula>
    </cfRule>
  </conditionalFormatting>
  <conditionalFormatting sqref="O162:S166">
    <cfRule type="cellIs" dxfId="98" priority="60" operator="between">
      <formula>0.15</formula>
      <formula>0.3</formula>
    </cfRule>
  </conditionalFormatting>
  <conditionalFormatting sqref="O170:S174">
    <cfRule type="cellIs" dxfId="99" priority="61" operator="between">
      <formula>0.15</formula>
      <formula>0.3</formula>
    </cfRule>
  </conditionalFormatting>
  <conditionalFormatting sqref="O178:S182">
    <cfRule type="cellIs" dxfId="100" priority="62" operator="between">
      <formula>0.15</formula>
      <formula>0.3</formula>
    </cfRule>
  </conditionalFormatting>
  <conditionalFormatting sqref="O186:S190">
    <cfRule type="cellIs" dxfId="101" priority="63" operator="between">
      <formula>0.15</formula>
      <formula>0.3</formula>
    </cfRule>
  </conditionalFormatting>
  <conditionalFormatting sqref="O238:S242">
    <cfRule type="cellIs" dxfId="102" priority="64" operator="between">
      <formula>0.15</formula>
      <formula>0.3</formula>
    </cfRule>
  </conditionalFormatting>
  <conditionalFormatting sqref="O246:S250">
    <cfRule type="cellIs" dxfId="103" priority="65" operator="between">
      <formula>0.15</formula>
      <formula>0.3</formula>
    </cfRule>
  </conditionalFormatting>
  <conditionalFormatting sqref="O254:S258">
    <cfRule type="cellIs" dxfId="104" priority="66" operator="between">
      <formula>0.15</formula>
      <formula>0.3</formula>
    </cfRule>
  </conditionalFormatting>
  <conditionalFormatting sqref="O262:S267">
    <cfRule type="cellIs" dxfId="105" priority="67" operator="between">
      <formula>0.15</formula>
      <formula>0.3</formula>
    </cfRule>
  </conditionalFormatting>
  <conditionalFormatting sqref="P274:P280">
    <cfRule type="expression" dxfId="106" priority="68">
      <formula>$S$4=1</formula>
    </cfRule>
  </conditionalFormatting>
  <conditionalFormatting sqref="Q92">
    <cfRule type="expression" dxfId="107" priority="69">
      <formula>Q92&lt;&gt;0</formula>
    </cfRule>
    <cfRule type="expression" dxfId="108" priority="70">
      <formula>$AR$2="Report"</formula>
    </cfRule>
  </conditionalFormatting>
  <conditionalFormatting sqref="Q127:Q133">
    <cfRule type="expression" dxfId="109" priority="71">
      <formula>$S$4=1</formula>
    </cfRule>
  </conditionalFormatting>
  <conditionalFormatting sqref="Q205:Q211">
    <cfRule type="expression" dxfId="110" priority="72">
      <formula>$S$4=1</formula>
    </cfRule>
  </conditionalFormatting>
  <conditionalFormatting sqref="S127:S132">
    <cfRule type="expression" dxfId="111" priority="73">
      <formula>$S$4=1</formula>
    </cfRule>
  </conditionalFormatting>
  <conditionalFormatting sqref="S151:S154">
    <cfRule type="expression" dxfId="112" priority="74">
      <formula>$S$2="Report"</formula>
    </cfRule>
    <cfRule type="expression" dxfId="113" priority="75">
      <formula>S151&lt;&gt;0</formula>
    </cfRule>
    <cfRule type="expression" dxfId="114" priority="76">
      <formula>$AR$2="Report"</formula>
    </cfRule>
  </conditionalFormatting>
  <conditionalFormatting sqref="S205:S210">
    <cfRule type="expression" dxfId="115" priority="77">
      <formula>$S$4=1</formula>
    </cfRule>
  </conditionalFormatting>
  <conditionalFormatting sqref="S227:S230">
    <cfRule type="expression" dxfId="116" priority="78">
      <formula>$S$2="Report"</formula>
    </cfRule>
    <cfRule type="expression" dxfId="117" priority="79">
      <formula>S227&lt;&gt;0</formula>
    </cfRule>
    <cfRule type="expression" dxfId="118" priority="80">
      <formula>$AR$2="Report"</formula>
    </cfRule>
  </conditionalFormatting>
  <conditionalFormatting sqref="S274:S279">
    <cfRule type="expression" dxfId="119" priority="81">
      <formula>$S$4=1</formula>
    </cfRule>
  </conditionalFormatting>
  <conditionalFormatting sqref="Y58:AC77">
    <cfRule type="expression" dxfId="120" priority="82">
      <formula>$S$4=1</formula>
    </cfRule>
  </conditionalFormatting>
  <conditionalFormatting sqref="AC59:AC79">
    <cfRule type="expression" dxfId="121" priority="83">
      <formula>$S$2="Report"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S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1"/>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9.83203125" customWidth="1"/>
    <col min="14" max="15" width="24.5" customWidth="1"/>
    <col min="16" max="16" width="23.5" customWidth="1"/>
    <col min="17" max="17" width="22.83203125" customWidth="1"/>
    <col min="18" max="18" width="21.5" customWidth="1"/>
    <col min="19" max="19" width="19.83203125" customWidth="1"/>
    <col min="20" max="21" width="24.5" customWidth="1"/>
    <col min="22" max="22" width="23.5" customWidth="1"/>
    <col min="23" max="23" width="22.83203125" customWidth="1"/>
    <col min="24" max="24" width="21.5" customWidth="1"/>
    <col min="25" max="25" width="19.83203125" customWidth="1"/>
    <col min="26" max="27" width="24.5" customWidth="1"/>
    <col min="28" max="28" width="23.5" customWidth="1"/>
    <col min="29" max="29" width="22.83203125" customWidth="1"/>
    <col min="30" max="30" width="21.5" customWidth="1"/>
    <col min="31" max="31" width="19.83203125" customWidth="1"/>
    <col min="32" max="33" width="24.5" customWidth="1"/>
    <col min="34" max="34" width="23.5" customWidth="1"/>
    <col min="35" max="35" width="22.832031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2.75" customHeight="1" spans="1:87" x14ac:dyDescent="0.25">
      <c r="A1" s="1"/>
      <c r="B1" s="1"/>
      <c r="C1" s="924" t="str">
        <f>Company_Name&amp;" - "&amp;MID(CELL("filename",A1),FIND("]",CELL("filename",A1))+1,255)&amp;": "&amp;Case_Scenario&amp;" Case"</f>
        <v>Republic Services, Inc. - Multiples Data: Base Case</v>
      </c>
      <c r="D1" s="1"/>
      <c r="E1" s="1"/>
      <c r="F1" s="1"/>
      <c r="G1" s="1"/>
      <c r="H1" s="1"/>
      <c r="I1" s="1"/>
      <c r="J1" s="1"/>
      <c r="K1" s="217"/>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5"/>
      <c r="L2" s="925" t="s">
        <v>1038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6"/>
      <c r="D3" s="8"/>
      <c r="E3" s="8"/>
      <c r="F3" s="8"/>
      <c r="G3" s="8"/>
      <c r="H3" s="8"/>
      <c r="I3" s="8"/>
      <c r="J3" s="8"/>
      <c r="K3" s="75"/>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926" t="str">
        <f>Comparables!S88</f>
        <v>Primary Peer Group</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926" t="str">
        <f>Comparables!S89</f>
        <v>N/A</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926" t="str">
        <f>Comparables!S90</f>
        <v>N/A</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57" t="s">
        <v>3</v>
      </c>
      <c r="B5" s="8"/>
      <c r="C5" s="893" t="s">
        <v>31</v>
      </c>
      <c r="D5" s="101"/>
      <c r="E5" s="101"/>
      <c r="F5" s="101"/>
      <c r="G5" s="101"/>
      <c r="H5" s="102"/>
      <c r="I5" s="191"/>
      <c r="J5" s="8"/>
      <c r="K5" s="257"/>
      <c r="L5" s="927" t="s">
        <v>1039</v>
      </c>
      <c r="M5" s="103"/>
      <c r="N5" s="103"/>
      <c r="O5" s="103"/>
      <c r="P5" s="103"/>
      <c r="Q5" s="103"/>
      <c r="R5" s="926" t="s">
        <v>1040</v>
      </c>
      <c r="S5" s="103"/>
      <c r="T5" s="103"/>
      <c r="U5" s="103"/>
      <c r="V5" s="103"/>
      <c r="W5" s="103"/>
      <c r="X5" s="926" t="s">
        <v>1041</v>
      </c>
      <c r="Y5" s="103"/>
      <c r="Z5" s="103"/>
      <c r="AA5" s="103"/>
      <c r="AB5" s="103"/>
      <c r="AC5" s="103"/>
      <c r="AD5" s="926" t="s">
        <v>1042</v>
      </c>
      <c r="AE5" s="103"/>
      <c r="AF5" s="103"/>
      <c r="AG5" s="103"/>
      <c r="AH5" s="103"/>
      <c r="AI5" s="103"/>
      <c r="AJ5" s="8"/>
      <c r="AK5" s="8"/>
      <c r="AL5" s="927" t="s">
        <v>1039</v>
      </c>
      <c r="AM5" s="103"/>
      <c r="AN5" s="103"/>
      <c r="AO5" s="103"/>
      <c r="AP5" s="103"/>
      <c r="AQ5" s="103"/>
      <c r="AR5" s="926" t="s">
        <v>1040</v>
      </c>
      <c r="AS5" s="103"/>
      <c r="AT5" s="103"/>
      <c r="AU5" s="103"/>
      <c r="AV5" s="103"/>
      <c r="AW5" s="103"/>
      <c r="AX5" s="926" t="s">
        <v>1041</v>
      </c>
      <c r="AY5" s="103"/>
      <c r="AZ5" s="103"/>
      <c r="BA5" s="103"/>
      <c r="BB5" s="103"/>
      <c r="BC5" s="103"/>
      <c r="BD5" s="926" t="s">
        <v>1042</v>
      </c>
      <c r="BE5" s="103"/>
      <c r="BF5" s="103"/>
      <c r="BG5" s="103"/>
      <c r="BH5" s="103"/>
      <c r="BI5" s="103"/>
      <c r="BJ5" s="8"/>
      <c r="BK5" s="8"/>
      <c r="BL5" s="927" t="s">
        <v>1039</v>
      </c>
      <c r="BM5" s="103"/>
      <c r="BN5" s="103"/>
      <c r="BO5" s="103"/>
      <c r="BP5" s="103"/>
      <c r="BQ5" s="103"/>
      <c r="BR5" s="926" t="s">
        <v>1040</v>
      </c>
      <c r="BS5" s="103"/>
      <c r="BT5" s="103"/>
      <c r="BU5" s="103"/>
      <c r="BV5" s="103"/>
      <c r="BW5" s="103"/>
      <c r="BX5" s="926" t="s">
        <v>1041</v>
      </c>
      <c r="BY5" s="103"/>
      <c r="BZ5" s="103"/>
      <c r="CA5" s="103"/>
      <c r="CB5" s="103"/>
      <c r="CC5" s="103"/>
      <c r="CD5" s="926" t="s">
        <v>1042</v>
      </c>
      <c r="CE5" s="103"/>
      <c r="CF5" s="103"/>
      <c r="CG5" s="103"/>
      <c r="CH5" s="103"/>
      <c r="CI5" s="103"/>
    </row>
    <row r="6" ht="14.25" customHeight="1" spans="1:87" x14ac:dyDescent="0.25">
      <c r="A6" s="8"/>
      <c r="B6" s="8"/>
      <c r="C6" s="893" t="str">
        <f>Company_Name</f>
        <v>Republic Services, Inc.</v>
      </c>
      <c r="D6" s="101"/>
      <c r="E6" s="101"/>
      <c r="F6" s="101"/>
      <c r="G6" s="101"/>
      <c r="H6" s="102"/>
      <c r="I6" s="906" t="str">
        <f>Last_FQR</f>
        <v>4Q</v>
      </c>
      <c r="J6" s="8"/>
      <c r="K6" s="257"/>
      <c r="L6" s="928" t="str">
        <f>Comparables!E88</f>
        <v>Republic Services, Inc.</v>
      </c>
      <c r="M6" s="929" t="str">
        <f>Comparables!$E$92</f>
        <v>Waste Management, Inc.</v>
      </c>
      <c r="N6" s="929" t="str">
        <f>Comparables!$E$96</f>
        <v>Waste Connections, Inc.</v>
      </c>
      <c r="O6" s="929" t="str">
        <f>Comparables!$E$100</f>
        <v>GFL Environmental Inc.</v>
      </c>
      <c r="P6" s="929" t="str">
        <f>Comparables!$E$104</f>
        <v>Casella Waste Systems, Inc.</v>
      </c>
      <c r="Q6" s="929" t="str">
        <f>Comparables!$E$108</f>
        <v>Clean Harbors, Inc.</v>
      </c>
      <c r="R6" s="929" t="str">
        <f>$L$6</f>
        <v>Republic Services, Inc.</v>
      </c>
      <c r="S6" s="929" t="str">
        <f>M6</f>
        <v>Waste Management, Inc.</v>
      </c>
      <c r="T6" s="929" t="str">
        <f>N6</f>
        <v>Waste Connections, Inc.</v>
      </c>
      <c r="U6" s="929" t="str">
        <f>O6</f>
        <v>GFL Environmental Inc.</v>
      </c>
      <c r="V6" s="929" t="str">
        <f>P6</f>
        <v>Casella Waste Systems, Inc.</v>
      </c>
      <c r="W6" s="929" t="str">
        <f>Q6</f>
        <v>Clean Harbors, Inc.</v>
      </c>
      <c r="X6" s="929" t="str">
        <f t="shared" ref="X6:AC6" si="0">L6</f>
        <v>Republic Services, Inc.</v>
      </c>
      <c r="Y6" s="929" t="str">
        <f t="shared" si="0"/>
        <v>Waste Management, Inc.</v>
      </c>
      <c r="Z6" s="929" t="str">
        <f t="shared" si="0"/>
        <v>Waste Connections, Inc.</v>
      </c>
      <c r="AA6" s="929" t="str">
        <f t="shared" si="0"/>
        <v>GFL Environmental Inc.</v>
      </c>
      <c r="AB6" s="929" t="str">
        <f t="shared" si="0"/>
        <v>Casella Waste Systems, Inc.</v>
      </c>
      <c r="AC6" s="929" t="str">
        <f t="shared" si="0"/>
        <v>Clean Harbors, Inc.</v>
      </c>
      <c r="AD6" s="929" t="str">
        <f t="shared" ref="AD6:AI6" si="1">L6</f>
        <v>Republic Services, Inc.</v>
      </c>
      <c r="AE6" s="929" t="str">
        <f t="shared" si="1"/>
        <v>Waste Management, Inc.</v>
      </c>
      <c r="AF6" s="929" t="str">
        <f t="shared" si="1"/>
        <v>Waste Connections, Inc.</v>
      </c>
      <c r="AG6" s="929" t="str">
        <f t="shared" si="1"/>
        <v>GFL Environmental Inc.</v>
      </c>
      <c r="AH6" s="929" t="str">
        <f t="shared" si="1"/>
        <v>Casella Waste Systems, Inc.</v>
      </c>
      <c r="AI6" s="929" t="str">
        <f t="shared" si="1"/>
        <v>Clean Harbors, Inc.</v>
      </c>
      <c r="AJ6" s="8"/>
      <c r="AK6" s="8"/>
      <c r="AL6" s="928" t="str">
        <f>AD6</f>
        <v>Republic Services, Inc.</v>
      </c>
      <c r="AM6" s="929">
        <f>Comparables!I$92</f>
        <v>0</v>
      </c>
      <c r="AN6" s="929">
        <f>Comparables!$I$96</f>
        <v>0</v>
      </c>
      <c r="AO6" s="929">
        <f>Comparables!$I$100</f>
        <v>0</v>
      </c>
      <c r="AP6" s="929">
        <f>Comparables!$I$104</f>
        <v>0</v>
      </c>
      <c r="AQ6" s="929">
        <f>Comparables!$I$108</f>
        <v>0</v>
      </c>
      <c r="AR6" s="929" t="str">
        <f>$AL$6</f>
        <v>Republic Services, Inc.</v>
      </c>
      <c r="AS6" s="929">
        <f t="shared" ref="AS6:AW7" si="2">AM6</f>
        <v>0</v>
      </c>
      <c r="AT6" s="929">
        <f t="shared" si="2"/>
        <v>0</v>
      </c>
      <c r="AU6" s="929">
        <f t="shared" si="2"/>
        <v>0</v>
      </c>
      <c r="AV6" s="929">
        <f t="shared" si="2"/>
        <v>0</v>
      </c>
      <c r="AW6" s="930">
        <f t="shared" si="2"/>
        <v>0</v>
      </c>
      <c r="AX6" s="929" t="s">
        <v>1043</v>
      </c>
      <c r="AY6" s="929">
        <f t="shared" ref="AY6:BC7" si="3">AS6</f>
        <v>0</v>
      </c>
      <c r="AZ6" s="929">
        <f t="shared" si="3"/>
        <v>0</v>
      </c>
      <c r="BA6" s="929">
        <f t="shared" si="3"/>
        <v>0</v>
      </c>
      <c r="BB6" s="929">
        <f t="shared" si="3"/>
        <v>0</v>
      </c>
      <c r="BC6" s="930">
        <f t="shared" si="3"/>
        <v>0</v>
      </c>
      <c r="BD6" s="929" t="s">
        <v>1043</v>
      </c>
      <c r="BE6" s="929">
        <f t="shared" ref="BE6:BI7" si="4">AY6</f>
        <v>0</v>
      </c>
      <c r="BF6" s="929">
        <f t="shared" si="4"/>
        <v>0</v>
      </c>
      <c r="BG6" s="929">
        <f t="shared" si="4"/>
        <v>0</v>
      </c>
      <c r="BH6" s="929">
        <f t="shared" si="4"/>
        <v>0</v>
      </c>
      <c r="BI6" s="930">
        <f t="shared" si="4"/>
        <v>0</v>
      </c>
      <c r="BJ6" s="8"/>
      <c r="BK6" s="8"/>
      <c r="BL6" s="928" t="str">
        <f>BD6</f>
        <v>Lowe's Companies, Inc.</v>
      </c>
      <c r="BM6" s="929">
        <f>Comparables!N$92</f>
        <v>0</v>
      </c>
      <c r="BN6" s="929">
        <f>Comparables!$N$96</f>
        <v>0</v>
      </c>
      <c r="BO6" s="929">
        <f>Comparables!$N$100</f>
        <v>0</v>
      </c>
      <c r="BP6" s="929">
        <f>Comparables!$N$104</f>
        <v>0</v>
      </c>
      <c r="BQ6" s="931">
        <f>Comparables!$N$108</f>
        <v>0</v>
      </c>
      <c r="BR6" s="929" t="s">
        <v>1043</v>
      </c>
      <c r="BS6" s="929">
        <f t="shared" ref="BS6:BW7" si="5">BM6</f>
        <v>0</v>
      </c>
      <c r="BT6" s="929">
        <f t="shared" si="5"/>
        <v>0</v>
      </c>
      <c r="BU6" s="929">
        <f t="shared" si="5"/>
        <v>0</v>
      </c>
      <c r="BV6" s="929">
        <f t="shared" si="5"/>
        <v>0</v>
      </c>
      <c r="BW6" s="930">
        <f t="shared" si="5"/>
        <v>0</v>
      </c>
      <c r="BX6" s="929" t="str">
        <f>$BD$6</f>
        <v>Lowe's Companies, Inc.</v>
      </c>
      <c r="BY6" s="929">
        <f t="shared" ref="BY6:CC7" si="6">BS6</f>
        <v>0</v>
      </c>
      <c r="BZ6" s="929">
        <f t="shared" si="6"/>
        <v>0</v>
      </c>
      <c r="CA6" s="929">
        <f t="shared" si="6"/>
        <v>0</v>
      </c>
      <c r="CB6" s="929">
        <f t="shared" si="6"/>
        <v>0</v>
      </c>
      <c r="CC6" s="930">
        <f t="shared" si="6"/>
        <v>0</v>
      </c>
      <c r="CD6" s="929" t="str">
        <f>$BD$6</f>
        <v>Lowe's Companies, Inc.</v>
      </c>
      <c r="CE6" s="929">
        <f t="shared" ref="CE6:CI7" si="7">BY6</f>
        <v>0</v>
      </c>
      <c r="CF6" s="929">
        <f t="shared" si="7"/>
        <v>0</v>
      </c>
      <c r="CG6" s="929">
        <f t="shared" si="7"/>
        <v>0</v>
      </c>
      <c r="CH6" s="929">
        <f t="shared" si="7"/>
        <v>0</v>
      </c>
      <c r="CI6" s="930">
        <f t="shared" si="7"/>
        <v>0</v>
      </c>
    </row>
    <row r="7" ht="14.25" customHeight="1" spans="1:87" x14ac:dyDescent="0.25">
      <c r="A7" s="8"/>
      <c r="B7" s="8"/>
      <c r="C7" s="932" t="s">
        <v>1044</v>
      </c>
      <c r="D7" s="932"/>
      <c r="E7" s="932"/>
      <c r="F7" s="932"/>
      <c r="G7" s="932"/>
      <c r="H7" s="932"/>
      <c r="I7" s="75" t="str">
        <f>LEFT(I6)</f>
        <v>4</v>
      </c>
      <c r="J7" s="8"/>
      <c r="K7" s="75"/>
      <c r="L7" s="928" t="str">
        <f>Ticker</f>
        <v>RSG</v>
      </c>
      <c r="M7" s="929" t="str">
        <f>Comparables!$E$93</f>
        <v>WM</v>
      </c>
      <c r="N7" s="929" t="str">
        <f>Comparables!$E$97</f>
        <v>WCN</v>
      </c>
      <c r="O7" s="929" t="str">
        <f>Comparables!$E$101</f>
        <v>GFL</v>
      </c>
      <c r="P7" s="929" t="str">
        <f>Comparables!$E$105</f>
        <v>CWST</v>
      </c>
      <c r="Q7" s="929" t="str">
        <f>Comparables!$E$109</f>
        <v>CLH</v>
      </c>
      <c r="R7" s="929" t="str">
        <f t="shared" ref="R7:W7" si="8">L7</f>
        <v>RSG</v>
      </c>
      <c r="S7" s="929" t="str">
        <f t="shared" si="8"/>
        <v>WM</v>
      </c>
      <c r="T7" s="929" t="str">
        <f t="shared" si="8"/>
        <v>WCN</v>
      </c>
      <c r="U7" s="929" t="str">
        <f t="shared" si="8"/>
        <v>GFL</v>
      </c>
      <c r="V7" s="929" t="str">
        <f t="shared" si="8"/>
        <v>CWST</v>
      </c>
      <c r="W7" s="929" t="str">
        <f t="shared" si="8"/>
        <v>CLH</v>
      </c>
      <c r="X7" s="929" t="str">
        <f t="shared" ref="X7:AC7" si="9">L7</f>
        <v>RSG</v>
      </c>
      <c r="Y7" s="929" t="str">
        <f t="shared" si="9"/>
        <v>WM</v>
      </c>
      <c r="Z7" s="929" t="str">
        <f t="shared" si="9"/>
        <v>WCN</v>
      </c>
      <c r="AA7" s="929" t="str">
        <f t="shared" si="9"/>
        <v>GFL</v>
      </c>
      <c r="AB7" s="929" t="str">
        <f t="shared" si="9"/>
        <v>CWST</v>
      </c>
      <c r="AC7" s="929" t="str">
        <f t="shared" si="9"/>
        <v>CLH</v>
      </c>
      <c r="AD7" s="929" t="str">
        <f t="shared" ref="AD7:AI7" si="10">L7</f>
        <v>RSG</v>
      </c>
      <c r="AE7" s="929" t="str">
        <f t="shared" si="10"/>
        <v>WM</v>
      </c>
      <c r="AF7" s="929" t="str">
        <f t="shared" si="10"/>
        <v>WCN</v>
      </c>
      <c r="AG7" s="929" t="str">
        <f t="shared" si="10"/>
        <v>GFL</v>
      </c>
      <c r="AH7" s="929" t="str">
        <f t="shared" si="10"/>
        <v>CWST</v>
      </c>
      <c r="AI7" s="929" t="str">
        <f t="shared" si="10"/>
        <v>CLH</v>
      </c>
      <c r="AJ7" s="8"/>
      <c r="AK7" s="8"/>
      <c r="AL7" s="928" t="str">
        <f>Ticker</f>
        <v>RSG</v>
      </c>
      <c r="AM7" s="929">
        <f>Comparables!$I$93</f>
        <v>0</v>
      </c>
      <c r="AN7" s="929">
        <f>Comparables!$I$97</f>
        <v>0</v>
      </c>
      <c r="AO7" s="929">
        <f>Comparables!$I$101</f>
        <v>0</v>
      </c>
      <c r="AP7" s="929">
        <f>Comparables!$I$105</f>
        <v>0</v>
      </c>
      <c r="AQ7" s="929">
        <f>Comparables!$I$109</f>
        <v>0</v>
      </c>
      <c r="AR7" s="929" t="str">
        <f>$AL$7</f>
        <v>RSG</v>
      </c>
      <c r="AS7" s="929">
        <f t="shared" si="2"/>
        <v>0</v>
      </c>
      <c r="AT7" s="929">
        <f t="shared" si="2"/>
        <v>0</v>
      </c>
      <c r="AU7" s="929">
        <f t="shared" si="2"/>
        <v>0</v>
      </c>
      <c r="AV7" s="929">
        <f t="shared" si="2"/>
        <v>0</v>
      </c>
      <c r="AW7" s="931">
        <f t="shared" si="2"/>
        <v>0</v>
      </c>
      <c r="AX7" s="929" t="s">
        <v>605</v>
      </c>
      <c r="AY7" s="929">
        <f t="shared" si="3"/>
        <v>0</v>
      </c>
      <c r="AZ7" s="929">
        <f t="shared" si="3"/>
        <v>0</v>
      </c>
      <c r="BA7" s="929">
        <f t="shared" si="3"/>
        <v>0</v>
      </c>
      <c r="BB7" s="929">
        <f t="shared" si="3"/>
        <v>0</v>
      </c>
      <c r="BC7" s="931">
        <f t="shared" si="3"/>
        <v>0</v>
      </c>
      <c r="BD7" s="929" t="s">
        <v>605</v>
      </c>
      <c r="BE7" s="929">
        <f t="shared" si="4"/>
        <v>0</v>
      </c>
      <c r="BF7" s="929">
        <f t="shared" si="4"/>
        <v>0</v>
      </c>
      <c r="BG7" s="929">
        <f t="shared" si="4"/>
        <v>0</v>
      </c>
      <c r="BH7" s="929">
        <f t="shared" si="4"/>
        <v>0</v>
      </c>
      <c r="BI7" s="931">
        <f t="shared" si="4"/>
        <v>0</v>
      </c>
      <c r="BJ7" s="8"/>
      <c r="BK7" s="8"/>
      <c r="BL7" s="928" t="str">
        <f>Ticker</f>
        <v>RSG</v>
      </c>
      <c r="BM7" s="929">
        <f>Comparables!$N$93</f>
        <v>0</v>
      </c>
      <c r="BN7" s="929">
        <f>Comparables!$N$97</f>
        <v>0</v>
      </c>
      <c r="BO7" s="929">
        <f>Comparables!$N$101</f>
        <v>0</v>
      </c>
      <c r="BP7" s="929">
        <f>Comparables!$N$105</f>
        <v>0</v>
      </c>
      <c r="BQ7" s="931">
        <f>Comparables!$N$109</f>
        <v>0</v>
      </c>
      <c r="BR7" s="929" t="s">
        <v>605</v>
      </c>
      <c r="BS7" s="929">
        <f t="shared" si="5"/>
        <v>0</v>
      </c>
      <c r="BT7" s="929">
        <f t="shared" si="5"/>
        <v>0</v>
      </c>
      <c r="BU7" s="929">
        <f t="shared" si="5"/>
        <v>0</v>
      </c>
      <c r="BV7" s="929">
        <f t="shared" si="5"/>
        <v>0</v>
      </c>
      <c r="BW7" s="931">
        <f t="shared" si="5"/>
        <v>0</v>
      </c>
      <c r="BX7" s="929" t="str">
        <f>$BD$7</f>
        <v>LOW</v>
      </c>
      <c r="BY7" s="929">
        <f t="shared" si="6"/>
        <v>0</v>
      </c>
      <c r="BZ7" s="929">
        <f t="shared" si="6"/>
        <v>0</v>
      </c>
      <c r="CA7" s="929">
        <f t="shared" si="6"/>
        <v>0</v>
      </c>
      <c r="CB7" s="929">
        <f t="shared" si="6"/>
        <v>0</v>
      </c>
      <c r="CC7" s="931">
        <f t="shared" si="6"/>
        <v>0</v>
      </c>
      <c r="CD7" s="929" t="str">
        <f>$BD$7</f>
        <v>LOW</v>
      </c>
      <c r="CE7" s="929">
        <f t="shared" si="7"/>
        <v>0</v>
      </c>
      <c r="CF7" s="929">
        <f t="shared" si="7"/>
        <v>0</v>
      </c>
      <c r="CG7" s="929">
        <f t="shared" si="7"/>
        <v>0</v>
      </c>
      <c r="CH7" s="929">
        <f t="shared" si="7"/>
        <v>0</v>
      </c>
      <c r="CI7" s="931">
        <f t="shared" si="7"/>
        <v>0</v>
      </c>
    </row>
    <row r="8" ht="14.25" customHeight="1" spans="1:87" x14ac:dyDescent="0.25">
      <c r="A8" s="8"/>
      <c r="B8" s="8"/>
      <c r="C8" s="75"/>
      <c r="D8" s="8"/>
      <c r="E8" s="75" t="s">
        <v>1039</v>
      </c>
      <c r="F8" s="75" t="s">
        <v>1040</v>
      </c>
      <c r="G8" s="75" t="s">
        <v>1041</v>
      </c>
      <c r="H8" s="75" t="s">
        <v>1042</v>
      </c>
      <c r="I8" s="75">
        <v>1</v>
      </c>
      <c r="J8" s="669">
        <v>2006</v>
      </c>
      <c r="K8" s="340" t="s">
        <v>1045</v>
      </c>
      <c r="L8" s="933">
        <v>22.536312849162</v>
      </c>
      <c r="M8" s="810">
        <v>21.8780487804878</v>
      </c>
      <c r="N8" s="810">
        <v>14.8171442721723</v>
      </c>
      <c r="O8" s="810"/>
      <c r="P8" s="810">
        <v>39.6666666666667</v>
      </c>
      <c r="Q8" s="810">
        <v>20.4619289340102</v>
      </c>
      <c r="R8" s="810">
        <v>19.4855371422333</v>
      </c>
      <c r="S8" s="810">
        <v>19.6960866392279</v>
      </c>
      <c r="T8" s="810">
        <v>46.287955952909</v>
      </c>
      <c r="U8" s="810"/>
      <c r="V8" s="810">
        <v>125.300059968285</v>
      </c>
      <c r="W8" s="810">
        <v>19.0021998742929</v>
      </c>
      <c r="X8" s="810">
        <v>9.16622954894116</v>
      </c>
      <c r="Y8" s="810">
        <v>8.58299664366479</v>
      </c>
      <c r="Z8" s="810">
        <v>8.72877744355631</v>
      </c>
      <c r="AA8" s="810"/>
      <c r="AB8" s="810">
        <v>7.67211798127986</v>
      </c>
      <c r="AC8" s="810">
        <v>9.87361075853577</v>
      </c>
      <c r="AD8" s="810">
        <v>8.34054677455479</v>
      </c>
      <c r="AE8" s="810">
        <v>7.83494294444553</v>
      </c>
      <c r="AF8" s="810">
        <v>9.82714742217333</v>
      </c>
      <c r="AG8" s="810"/>
      <c r="AH8" s="810">
        <v>6.99534510218515</v>
      </c>
      <c r="AI8" s="810">
        <v>7.50650523317137</v>
      </c>
      <c r="AJ8" s="8"/>
      <c r="AK8" s="340" t="str">
        <f t="shared" ref="AK8:AK84" si="11">$K8</f>
        <v>2Q06</v>
      </c>
      <c r="AL8" s="933">
        <f t="shared" ref="AL8:AL84" si="12">L8</f>
        <v>22.536312849162</v>
      </c>
      <c r="AM8" s="810">
        <v>31.6373624508615</v>
      </c>
      <c r="AN8" s="810">
        <v>57.3242799255251</v>
      </c>
      <c r="AO8" s="810">
        <v>29.5323741007194</v>
      </c>
      <c r="AP8" s="810">
        <v>19.8206751054852</v>
      </c>
      <c r="AQ8" s="934"/>
      <c r="AR8" s="933">
        <f t="shared" ref="AR8:AR84" si="13">R8</f>
        <v>19.4855371422333</v>
      </c>
      <c r="AS8" s="810">
        <v>24.1628199748217</v>
      </c>
      <c r="AT8" s="810">
        <v>15.5671617478749</v>
      </c>
      <c r="AU8" s="810">
        <v>19.4273544723142</v>
      </c>
      <c r="AV8" s="810">
        <v>18.1932610379551</v>
      </c>
      <c r="AW8" s="934"/>
      <c r="AX8" s="933">
        <f t="shared" ref="AX8:AX84" si="14">X8</f>
        <v>9.16622954894116</v>
      </c>
      <c r="AY8" s="810">
        <v>13.3943921309475</v>
      </c>
      <c r="AZ8" s="810">
        <v>10.1673549788865</v>
      </c>
      <c r="BA8" s="810">
        <v>16.4177867910307</v>
      </c>
      <c r="BB8" s="810">
        <v>11.5907362783901</v>
      </c>
      <c r="BC8" s="934">
        <v>9.99367805512879</v>
      </c>
      <c r="BD8" s="933"/>
      <c r="BE8" s="810"/>
      <c r="BF8" s="810"/>
      <c r="BG8" s="810"/>
      <c r="BH8" s="810"/>
      <c r="BI8" s="934"/>
      <c r="BJ8" s="8"/>
      <c r="BK8" s="340" t="str">
        <f t="shared" ref="BK8:BK84" si="15">$K8</f>
        <v>2Q06</v>
      </c>
      <c r="BL8" s="933">
        <f t="shared" ref="BL8:BL84" si="16">AL8</f>
        <v>22.536312849162</v>
      </c>
      <c r="BM8" s="810">
        <v>24.0889830508475</v>
      </c>
      <c r="BN8" s="810">
        <v>198.04347826087</v>
      </c>
      <c r="BO8" s="810">
        <v>24.6567570429574</v>
      </c>
      <c r="BP8" s="810">
        <v>18.3081071668037</v>
      </c>
      <c r="BQ8" s="934">
        <v>18.3663366336634</v>
      </c>
      <c r="BR8" s="933">
        <f t="shared" ref="BR8:BR84" si="17">AR8</f>
        <v>19.4855371422333</v>
      </c>
      <c r="BS8" s="810">
        <v>21.3400900900901</v>
      </c>
      <c r="BT8" s="810">
        <v>59.3098958333333</v>
      </c>
      <c r="BU8" s="810">
        <v>21.8971197871046</v>
      </c>
      <c r="BV8" s="810">
        <v>15.6499713324482</v>
      </c>
      <c r="BW8" s="934">
        <v>17.2077922077922</v>
      </c>
      <c r="BX8" s="933">
        <f t="shared" ref="BX8:BX84" si="18">AX8</f>
        <v>9.16622954894116</v>
      </c>
      <c r="BY8" s="810">
        <v>9.95734832672691</v>
      </c>
      <c r="BZ8" s="810"/>
      <c r="CA8" s="810">
        <v>14.8271286946223</v>
      </c>
      <c r="CB8" s="810">
        <v>10.0353539604855</v>
      </c>
      <c r="CC8" s="934">
        <v>9.43229913064321</v>
      </c>
      <c r="CD8" s="933"/>
      <c r="CE8" s="810"/>
      <c r="CF8" s="810"/>
      <c r="CG8" s="810"/>
      <c r="CH8" s="810"/>
      <c r="CI8" s="934"/>
    </row>
    <row r="9" ht="14.25" customHeight="1" spans="1:87" x14ac:dyDescent="0.25">
      <c r="A9" s="8"/>
      <c r="B9" s="8"/>
      <c r="C9" s="8" t="s">
        <v>988</v>
      </c>
      <c r="D9" s="8"/>
      <c r="E9" s="753">
        <f>AVERAGE(L81:L87)</f>
        <v>34.1139936684865</v>
      </c>
      <c r="F9" s="753">
        <f>AVERAGE(R81:R87)</f>
        <v>31.122682485859915</v>
      </c>
      <c r="G9" s="753">
        <f>AVERAGE(X81:X87)</f>
        <v>16.229119156944172</v>
      </c>
      <c r="H9" s="753">
        <f>AVERAGE(AD81:AD87)</f>
        <v>15.076168132330384</v>
      </c>
      <c r="I9" s="75">
        <v>2</v>
      </c>
      <c r="J9" s="7">
        <v>2006</v>
      </c>
      <c r="K9" s="340" t="s">
        <v>1046</v>
      </c>
      <c r="L9" s="933">
        <v>21.5026737967914</v>
      </c>
      <c r="M9" s="810">
        <v>21.4502923976608</v>
      </c>
      <c r="N9" s="810">
        <v>15.0514300088322</v>
      </c>
      <c r="O9" s="810"/>
      <c r="P9" s="810">
        <v>57.4444456808729</v>
      </c>
      <c r="Q9" s="810">
        <v>21.3480392156863</v>
      </c>
      <c r="R9" s="810">
        <v>18.7610772185595</v>
      </c>
      <c r="S9" s="810">
        <v>19.3898202688416</v>
      </c>
      <c r="T9" s="810">
        <v>39.6164344972432</v>
      </c>
      <c r="U9" s="810"/>
      <c r="V9" s="810">
        <v>175.99594342599</v>
      </c>
      <c r="W9" s="810">
        <v>17.7570432762126</v>
      </c>
      <c r="X9" s="810">
        <v>8.84536923065147</v>
      </c>
      <c r="Y9" s="810">
        <v>8.41398017481754</v>
      </c>
      <c r="Z9" s="810">
        <v>8.83309848551963</v>
      </c>
      <c r="AA9" s="810"/>
      <c r="AB9" s="810">
        <v>7.52972051418404</v>
      </c>
      <c r="AC9" s="810">
        <v>10.0945015197982</v>
      </c>
      <c r="AD9" s="810">
        <v>8.03624469726679</v>
      </c>
      <c r="AE9" s="810">
        <v>7.71469962766552</v>
      </c>
      <c r="AF9" s="810">
        <v>9.67059163077931</v>
      </c>
      <c r="AG9" s="810"/>
      <c r="AH9" s="810">
        <v>6.690761667171</v>
      </c>
      <c r="AI9" s="810">
        <v>6.88718506548859</v>
      </c>
      <c r="AJ9" s="8"/>
      <c r="AK9" s="340" t="str">
        <f t="shared" si="11"/>
        <v>3Q06</v>
      </c>
      <c r="AL9" s="933">
        <f t="shared" si="12"/>
        <v>21.5026737967914</v>
      </c>
      <c r="AM9" s="810">
        <v>33.7378642338589</v>
      </c>
      <c r="AN9" s="810">
        <v>65.2061273977061</v>
      </c>
      <c r="AO9" s="810">
        <v>25.3105590062112</v>
      </c>
      <c r="AP9" s="810">
        <v>21.4415322786777</v>
      </c>
      <c r="AQ9" s="934"/>
      <c r="AR9" s="933">
        <f t="shared" si="13"/>
        <v>18.7610772185595</v>
      </c>
      <c r="AS9" s="810">
        <v>27.5903136165145</v>
      </c>
      <c r="AT9" s="810">
        <v>17.0317268699309</v>
      </c>
      <c r="AU9" s="810">
        <v>18.7442502299908</v>
      </c>
      <c r="AV9" s="810">
        <v>20.4048349961627</v>
      </c>
      <c r="AW9" s="934"/>
      <c r="AX9" s="933">
        <f t="shared" si="14"/>
        <v>8.84536923065147</v>
      </c>
      <c r="AY9" s="810">
        <v>15.4589819476129</v>
      </c>
      <c r="AZ9" s="810">
        <v>9.63156595976785</v>
      </c>
      <c r="BA9" s="810">
        <v>16.5102450531201</v>
      </c>
      <c r="BB9" s="810">
        <v>12.6637918478585</v>
      </c>
      <c r="BC9" s="934">
        <v>10.5788759046551</v>
      </c>
      <c r="BD9" s="933"/>
      <c r="BE9" s="810"/>
      <c r="BF9" s="810"/>
      <c r="BG9" s="810"/>
      <c r="BH9" s="810"/>
      <c r="BI9" s="934"/>
      <c r="BJ9" s="8"/>
      <c r="BK9" s="340" t="str">
        <f t="shared" si="15"/>
        <v>3Q06</v>
      </c>
      <c r="BL9" s="933">
        <f t="shared" si="16"/>
        <v>21.5026737967914</v>
      </c>
      <c r="BM9" s="810">
        <v>22.662037037037</v>
      </c>
      <c r="BN9" s="810">
        <v>171.071428571429</v>
      </c>
      <c r="BO9" s="810">
        <v>18.4929491192053</v>
      </c>
      <c r="BP9" s="810">
        <v>16.8537918862423</v>
      </c>
      <c r="BQ9" s="934">
        <v>16.5206812652068</v>
      </c>
      <c r="BR9" s="933">
        <f t="shared" si="17"/>
        <v>18.7610772185595</v>
      </c>
      <c r="BS9" s="810">
        <v>19.6271050521251</v>
      </c>
      <c r="BT9" s="810">
        <v>55.4398148148148</v>
      </c>
      <c r="BU9" s="810">
        <v>16.8829221100363</v>
      </c>
      <c r="BV9" s="810">
        <v>14.3390533790604</v>
      </c>
      <c r="BW9" s="934">
        <v>15.68853974122</v>
      </c>
      <c r="BX9" s="933">
        <f t="shared" si="18"/>
        <v>8.84536923065147</v>
      </c>
      <c r="BY9" s="810">
        <v>7.89044204782666</v>
      </c>
      <c r="BZ9" s="810"/>
      <c r="CA9" s="810">
        <v>10.8988746445519</v>
      </c>
      <c r="CB9" s="810">
        <v>9.53206413009416</v>
      </c>
      <c r="CC9" s="934">
        <v>8.65171889647252</v>
      </c>
      <c r="CD9" s="933"/>
      <c r="CE9" s="810"/>
      <c r="CF9" s="810"/>
      <c r="CG9" s="810"/>
      <c r="CH9" s="810"/>
      <c r="CI9" s="934"/>
    </row>
    <row r="10" ht="14.25" customHeight="1" spans="1:87" x14ac:dyDescent="0.25">
      <c r="A10" s="8"/>
      <c r="B10" s="8"/>
      <c r="C10" s="8" t="s">
        <v>985</v>
      </c>
      <c r="D10" s="8"/>
      <c r="E10" s="753">
        <f>AVERAGE(L77:L87)</f>
        <v>33.20098053946469</v>
      </c>
      <c r="F10" s="753">
        <f>AVERAGE(R77:R87)</f>
        <v>30.165016844253433</v>
      </c>
      <c r="G10" s="753">
        <f>AVERAGE(X77:X87)</f>
        <v>15.887151584946809</v>
      </c>
      <c r="H10" s="753">
        <f>AVERAGE(AD77:AD87)</f>
        <v>14.636063040021257</v>
      </c>
      <c r="I10" s="75">
        <v>3</v>
      </c>
      <c r="J10" s="7">
        <v>2006</v>
      </c>
      <c r="K10" s="340" t="s">
        <v>1047</v>
      </c>
      <c r="L10" s="933">
        <v>20.75</v>
      </c>
      <c r="M10" s="810">
        <v>20.3149171270718</v>
      </c>
      <c r="N10" s="810">
        <v>14.3936377382212</v>
      </c>
      <c r="O10" s="810"/>
      <c r="P10" s="810">
        <v>111.181817278143</v>
      </c>
      <c r="Q10" s="810">
        <v>17.4136690647482</v>
      </c>
      <c r="R10" s="810">
        <v>18.1100508905852</v>
      </c>
      <c r="S10" s="810">
        <v>18.5187465025182</v>
      </c>
      <c r="T10" s="810">
        <v>39.6176644769311</v>
      </c>
      <c r="U10" s="810"/>
      <c r="V10" s="810">
        <v>97.9491598991374</v>
      </c>
      <c r="W10" s="810">
        <v>22.6214953271028</v>
      </c>
      <c r="X10" s="810">
        <v>8.63579458723581</v>
      </c>
      <c r="Y10" s="810">
        <v>8.20271600100963</v>
      </c>
      <c r="Z10" s="810">
        <v>8.05889033317166</v>
      </c>
      <c r="AA10" s="810"/>
      <c r="AB10" s="810">
        <v>7.85356348882334</v>
      </c>
      <c r="AC10" s="810">
        <v>10.1147496362698</v>
      </c>
      <c r="AD10" s="810">
        <v>7.89478663823416</v>
      </c>
      <c r="AE10" s="810">
        <v>7.54201260035974</v>
      </c>
      <c r="AF10" s="810">
        <v>8.64321376792318</v>
      </c>
      <c r="AG10" s="810"/>
      <c r="AH10" s="810">
        <v>6.8595581027101</v>
      </c>
      <c r="AI10" s="810">
        <v>7.67518762114025</v>
      </c>
      <c r="AJ10" s="8"/>
      <c r="AK10" s="340" t="str">
        <f t="shared" si="11"/>
        <v>4Q06</v>
      </c>
      <c r="AL10" s="933">
        <f t="shared" si="12"/>
        <v>20.75</v>
      </c>
      <c r="AM10" s="810">
        <v>28.2401745548824</v>
      </c>
      <c r="AN10" s="810">
        <v>61.5214753802231</v>
      </c>
      <c r="AO10" s="810">
        <v>15.668449197861</v>
      </c>
      <c r="AP10" s="810">
        <v>15.6403846153846</v>
      </c>
      <c r="AQ10" s="934"/>
      <c r="AR10" s="933">
        <f t="shared" si="13"/>
        <v>18.1100508905852</v>
      </c>
      <c r="AS10" s="810">
        <v>25.4606299212598</v>
      </c>
      <c r="AT10" s="810">
        <v>17.2111267537473</v>
      </c>
      <c r="AU10" s="810">
        <v>13.5710977304308</v>
      </c>
      <c r="AV10" s="810">
        <v>15.6947124662293</v>
      </c>
      <c r="AW10" s="934"/>
      <c r="AX10" s="933">
        <f t="shared" si="14"/>
        <v>8.63579458723581</v>
      </c>
      <c r="AY10" s="810">
        <v>14.1581699783545</v>
      </c>
      <c r="AZ10" s="810">
        <v>9.50835601638205</v>
      </c>
      <c r="BA10" s="810">
        <v>8.81060549832901</v>
      </c>
      <c r="BB10" s="810">
        <v>9.70905162045044</v>
      </c>
      <c r="BC10" s="934">
        <v>6.74708071538801</v>
      </c>
      <c r="BD10" s="933"/>
      <c r="BE10" s="810"/>
      <c r="BF10" s="810"/>
      <c r="BG10" s="810"/>
      <c r="BH10" s="810"/>
      <c r="BI10" s="934"/>
      <c r="BJ10" s="8"/>
      <c r="BK10" s="340" t="str">
        <f t="shared" si="15"/>
        <v>4Q06</v>
      </c>
      <c r="BL10" s="933">
        <f t="shared" si="16"/>
        <v>20.75</v>
      </c>
      <c r="BM10" s="810">
        <v>17.0733944954128</v>
      </c>
      <c r="BN10" s="810">
        <v>77.0338983050848</v>
      </c>
      <c r="BO10" s="810">
        <v>14.9024195031447</v>
      </c>
      <c r="BP10" s="810">
        <v>10.058718431346</v>
      </c>
      <c r="BQ10" s="934">
        <v>13.45</v>
      </c>
      <c r="BR10" s="933">
        <f t="shared" si="17"/>
        <v>18.1100508905852</v>
      </c>
      <c r="BS10" s="810">
        <v>18.3711747285291</v>
      </c>
      <c r="BT10" s="810">
        <v>42.6360225140713</v>
      </c>
      <c r="BU10" s="810">
        <v>14.3954113061968</v>
      </c>
      <c r="BV10" s="810">
        <v>10.177874029743</v>
      </c>
      <c r="BW10" s="934">
        <v>12.8503184713376</v>
      </c>
      <c r="BX10" s="933">
        <f t="shared" si="18"/>
        <v>8.63579458723581</v>
      </c>
      <c r="BY10" s="810">
        <v>6.29632936312156</v>
      </c>
      <c r="BZ10" s="810"/>
      <c r="CA10" s="810">
        <v>9.23730471252448</v>
      </c>
      <c r="CB10" s="810">
        <v>6.18830742591716</v>
      </c>
      <c r="CC10" s="934">
        <v>7.00932513291303</v>
      </c>
      <c r="CD10" s="933"/>
      <c r="CE10" s="810"/>
      <c r="CF10" s="810"/>
      <c r="CG10" s="810"/>
      <c r="CH10" s="810"/>
      <c r="CI10" s="934"/>
    </row>
    <row r="11" ht="14.25" customHeight="1" spans="1:87" x14ac:dyDescent="0.25">
      <c r="A11" s="8"/>
      <c r="B11" s="8"/>
      <c r="C11" s="8" t="s">
        <v>990</v>
      </c>
      <c r="D11" s="8"/>
      <c r="E11" s="753">
        <f>AVERAGE(L73:L87)</f>
        <v>31.96545492232389</v>
      </c>
      <c r="F11" s="753">
        <f>AVERAGE(R73:R87)</f>
        <v>29.100983810075782</v>
      </c>
      <c r="G11" s="753">
        <f>AVERAGE(X73:X87)</f>
        <v>15.48514559023975</v>
      </c>
      <c r="H11" s="753">
        <f>AVERAGE(AD73:AD87)</f>
        <v>14.162154991576747</v>
      </c>
      <c r="I11" s="75">
        <v>4</v>
      </c>
      <c r="J11" s="7">
        <v>2006</v>
      </c>
      <c r="K11" s="340" t="s">
        <v>1048</v>
      </c>
      <c r="L11" s="933">
        <v>20.5566502463054</v>
      </c>
      <c r="M11" s="810">
        <v>19.0110497237569</v>
      </c>
      <c r="N11" s="810">
        <v>13.3246292486855</v>
      </c>
      <c r="O11" s="810"/>
      <c r="P11" s="810">
        <v>487.999978184701</v>
      </c>
      <c r="Q11" s="810">
        <v>15.8666666666667</v>
      </c>
      <c r="R11" s="810">
        <v>17.6833381419838</v>
      </c>
      <c r="S11" s="810">
        <v>16.9775370043898</v>
      </c>
      <c r="T11" s="810">
        <v>31.5368820120497</v>
      </c>
      <c r="U11" s="810"/>
      <c r="V11" s="810">
        <v>159.504203407746</v>
      </c>
      <c r="W11" s="810">
        <v>20.5667830886655</v>
      </c>
      <c r="X11" s="810">
        <v>8.46842348137346</v>
      </c>
      <c r="Y11" s="810">
        <v>7.68636416961057</v>
      </c>
      <c r="Z11" s="810">
        <v>7.25456171646486</v>
      </c>
      <c r="AA11" s="810"/>
      <c r="AB11" s="810">
        <v>7.10060475336787</v>
      </c>
      <c r="AC11" s="810">
        <v>7.9086285405098</v>
      </c>
      <c r="AD11" s="810">
        <v>7.69131105204981</v>
      </c>
      <c r="AE11" s="810">
        <v>7.27019067322192</v>
      </c>
      <c r="AF11" s="810">
        <v>8.26221318460445</v>
      </c>
      <c r="AG11" s="810"/>
      <c r="AH11" s="810">
        <v>6.27653764715657</v>
      </c>
      <c r="AI11" s="810">
        <v>7.00689981905674</v>
      </c>
      <c r="AJ11" s="8"/>
      <c r="AK11" s="340" t="str">
        <f t="shared" si="11"/>
        <v>1Q07</v>
      </c>
      <c r="AL11" s="933">
        <f t="shared" si="12"/>
        <v>20.5566502463054</v>
      </c>
      <c r="AM11" s="810">
        <v>22.470817037238</v>
      </c>
      <c r="AN11" s="810">
        <v>38.2756671232394</v>
      </c>
      <c r="AO11" s="810">
        <v>16.6216216216216</v>
      </c>
      <c r="AP11" s="810">
        <v>15.0037807183365</v>
      </c>
      <c r="AQ11" s="934"/>
      <c r="AR11" s="933">
        <f t="shared" si="13"/>
        <v>17.6833381419838</v>
      </c>
      <c r="AS11" s="810">
        <v>22.6470588235294</v>
      </c>
      <c r="AT11" s="810">
        <v>14.7843172547043</v>
      </c>
      <c r="AU11" s="810">
        <v>14.5047169811321</v>
      </c>
      <c r="AV11" s="810">
        <v>15.3283120896099</v>
      </c>
      <c r="AW11" s="934"/>
      <c r="AX11" s="933">
        <f t="shared" si="14"/>
        <v>8.46842348137346</v>
      </c>
      <c r="AY11" s="810">
        <v>12.4382164540118</v>
      </c>
      <c r="AZ11" s="810">
        <v>12.8718399686108</v>
      </c>
      <c r="BA11" s="810">
        <v>9.55054580501164</v>
      </c>
      <c r="BB11" s="810">
        <v>9.38555303097033</v>
      </c>
      <c r="BC11" s="934">
        <v>5.74453431728535</v>
      </c>
      <c r="BD11" s="933"/>
      <c r="BE11" s="810"/>
      <c r="BF11" s="810"/>
      <c r="BG11" s="810"/>
      <c r="BH11" s="810"/>
      <c r="BI11" s="934"/>
      <c r="BJ11" s="8"/>
      <c r="BK11" s="340" t="str">
        <f t="shared" si="15"/>
        <v>1Q07</v>
      </c>
      <c r="BL11" s="933">
        <f t="shared" si="16"/>
        <v>20.5566502463054</v>
      </c>
      <c r="BM11" s="810">
        <v>19.8782608695652</v>
      </c>
      <c r="BN11" s="810">
        <v>33.7132352941176</v>
      </c>
      <c r="BO11" s="810">
        <v>15.5009745629139</v>
      </c>
      <c r="BP11" s="810">
        <v>11.424029243357</v>
      </c>
      <c r="BQ11" s="934">
        <v>14.0772727272727</v>
      </c>
      <c r="BR11" s="933">
        <f t="shared" si="17"/>
        <v>17.6833381419838</v>
      </c>
      <c r="BS11" s="810">
        <v>21.8546845124283</v>
      </c>
      <c r="BT11" s="810">
        <v>19.3623310810811</v>
      </c>
      <c r="BU11" s="810">
        <v>15.470238988764</v>
      </c>
      <c r="BV11" s="810">
        <v>11.4012267897774</v>
      </c>
      <c r="BW11" s="934">
        <v>14.0581025873808</v>
      </c>
      <c r="BX11" s="933">
        <f t="shared" si="18"/>
        <v>8.46842348137346</v>
      </c>
      <c r="BY11" s="810">
        <v>5.60281246475435</v>
      </c>
      <c r="BZ11" s="810"/>
      <c r="CA11" s="810">
        <v>10.262349948648</v>
      </c>
      <c r="CB11" s="810">
        <v>7.16364226171752</v>
      </c>
      <c r="CC11" s="934">
        <v>7.56131327496828</v>
      </c>
      <c r="CD11" s="933"/>
      <c r="CE11" s="810"/>
      <c r="CF11" s="810"/>
      <c r="CG11" s="810"/>
      <c r="CH11" s="810"/>
      <c r="CI11" s="934"/>
    </row>
    <row r="12" ht="14.25" customHeight="1" spans="1:87" x14ac:dyDescent="0.25">
      <c r="A12" s="8"/>
      <c r="B12" s="8"/>
      <c r="C12" s="8" t="s">
        <v>991</v>
      </c>
      <c r="D12" s="8"/>
      <c r="E12" s="753">
        <f>AVERAGE(L65:L87)</f>
        <v>31.41874906536891</v>
      </c>
      <c r="F12" s="753">
        <f>AVERAGE(R65:R87)</f>
        <v>28.50854677558343</v>
      </c>
      <c r="G12" s="753">
        <f>AVERAGE(X65:X87)</f>
        <v>15.08140324421152</v>
      </c>
      <c r="H12" s="753">
        <f>AVERAGE(AD65:AD87)</f>
        <v>13.822501519610505</v>
      </c>
      <c r="I12" s="75">
        <v>1</v>
      </c>
      <c r="J12" s="7">
        <v>2007</v>
      </c>
      <c r="K12" s="340" t="s">
        <v>1049</v>
      </c>
      <c r="L12" s="933">
        <v>21.6282352941176</v>
      </c>
      <c r="M12" s="810">
        <v>20.5526315789474</v>
      </c>
      <c r="N12" s="810">
        <v>15.9375773486935</v>
      </c>
      <c r="O12" s="810"/>
      <c r="P12" s="810"/>
      <c r="Q12" s="810">
        <v>17.9709090909091</v>
      </c>
      <c r="R12" s="810">
        <v>18.978333632656</v>
      </c>
      <c r="S12" s="810">
        <v>18.2013972593264</v>
      </c>
      <c r="T12" s="810">
        <v>33.6934383982046</v>
      </c>
      <c r="U12" s="810"/>
      <c r="V12" s="810"/>
      <c r="W12" s="810">
        <v>21.7732408932065</v>
      </c>
      <c r="X12" s="810">
        <v>9.1715131441088</v>
      </c>
      <c r="Y12" s="810">
        <v>8.23793361935343</v>
      </c>
      <c r="Z12" s="810">
        <v>8.25494775353088</v>
      </c>
      <c r="AA12" s="810"/>
      <c r="AB12" s="810">
        <v>8.95669228797858</v>
      </c>
      <c r="AC12" s="810">
        <v>8.5291191175534</v>
      </c>
      <c r="AD12" s="810">
        <v>8.08855044988962</v>
      </c>
      <c r="AE12" s="810">
        <v>7.79793896143754</v>
      </c>
      <c r="AF12" s="810">
        <v>8.63386851433691</v>
      </c>
      <c r="AG12" s="810"/>
      <c r="AH12" s="810">
        <v>6.83923335473004</v>
      </c>
      <c r="AI12" s="810">
        <v>6.98868036788089</v>
      </c>
      <c r="AJ12" s="8"/>
      <c r="AK12" s="340" t="str">
        <f t="shared" si="11"/>
        <v>2Q07</v>
      </c>
      <c r="AL12" s="933">
        <f t="shared" si="12"/>
        <v>21.6282352941176</v>
      </c>
      <c r="AM12" s="810">
        <v>18.1488548131938</v>
      </c>
      <c r="AN12" s="810">
        <v>13.8276219685405</v>
      </c>
      <c r="AO12" s="810">
        <v>16.2114285714286</v>
      </c>
      <c r="AP12" s="810">
        <v>10.4695817490494</v>
      </c>
      <c r="AQ12" s="934"/>
      <c r="AR12" s="933">
        <f t="shared" si="13"/>
        <v>18.978333632656</v>
      </c>
      <c r="AS12" s="810">
        <v>21.5940054495913</v>
      </c>
      <c r="AT12" s="810">
        <v>20.1751850233281</v>
      </c>
      <c r="AU12" s="810">
        <v>16.4559164733179</v>
      </c>
      <c r="AV12" s="810">
        <v>10.9352660841938</v>
      </c>
      <c r="AW12" s="934"/>
      <c r="AX12" s="933">
        <f t="shared" si="14"/>
        <v>9.1715131441088</v>
      </c>
      <c r="AY12" s="810">
        <v>10.3640936852251</v>
      </c>
      <c r="AZ12" s="810">
        <v>10.8635508026007</v>
      </c>
      <c r="BA12" s="810">
        <v>9.75856331300942</v>
      </c>
      <c r="BB12" s="810">
        <v>7.4360441182741</v>
      </c>
      <c r="BC12" s="934">
        <v>5.38774679702789</v>
      </c>
      <c r="BD12" s="933"/>
      <c r="BE12" s="810"/>
      <c r="BF12" s="810"/>
      <c r="BG12" s="810"/>
      <c r="BH12" s="810"/>
      <c r="BI12" s="934"/>
      <c r="BJ12" s="8"/>
      <c r="BK12" s="340" t="str">
        <f t="shared" si="15"/>
        <v>2Q07</v>
      </c>
      <c r="BL12" s="933">
        <f t="shared" si="16"/>
        <v>21.6282352941176</v>
      </c>
      <c r="BM12" s="810">
        <v>20.1639344262295</v>
      </c>
      <c r="BN12" s="810">
        <v>21.8111111111111</v>
      </c>
      <c r="BO12" s="810">
        <v>16.5621018243243</v>
      </c>
      <c r="BP12" s="810">
        <v>10.8742096541045</v>
      </c>
      <c r="BQ12" s="934">
        <v>12.84</v>
      </c>
      <c r="BR12" s="933">
        <f t="shared" si="17"/>
        <v>18.978333632656</v>
      </c>
      <c r="BS12" s="810">
        <v>21.8278615794144</v>
      </c>
      <c r="BT12" s="810">
        <v>16.523569023569</v>
      </c>
      <c r="BU12" s="810">
        <v>15.2532113876789</v>
      </c>
      <c r="BV12" s="810">
        <v>12.4524017471987</v>
      </c>
      <c r="BW12" s="934">
        <v>12.3093310609288</v>
      </c>
      <c r="BX12" s="933">
        <f t="shared" si="18"/>
        <v>9.1715131441088</v>
      </c>
      <c r="BY12" s="810">
        <v>6.93754542616547</v>
      </c>
      <c r="BZ12" s="810"/>
      <c r="CA12" s="810">
        <v>10.9533057003254</v>
      </c>
      <c r="CB12" s="810">
        <v>6.96558270476352</v>
      </c>
      <c r="CC12" s="934">
        <v>7.03993127598507</v>
      </c>
      <c r="CD12" s="933"/>
      <c r="CE12" s="810"/>
      <c r="CF12" s="810"/>
      <c r="CG12" s="810"/>
      <c r="CH12" s="810"/>
      <c r="CI12" s="934"/>
    </row>
    <row r="13" ht="14.25" customHeight="1" spans="1:87" x14ac:dyDescent="0.25">
      <c r="A13" s="8"/>
      <c r="B13" s="8"/>
      <c r="C13" s="932" t="s">
        <v>1050</v>
      </c>
      <c r="D13" s="932"/>
      <c r="E13" s="932"/>
      <c r="F13" s="932"/>
      <c r="G13" s="932"/>
      <c r="H13" s="932"/>
      <c r="I13" s="75">
        <v>2</v>
      </c>
      <c r="J13" s="7">
        <v>2007</v>
      </c>
      <c r="K13" s="340" t="s">
        <v>1051</v>
      </c>
      <c r="L13" s="933">
        <v>21.9530201342282</v>
      </c>
      <c r="M13" s="810">
        <v>18.7761194029851</v>
      </c>
      <c r="N13" s="810">
        <v>17.8792484203547</v>
      </c>
      <c r="O13" s="810"/>
      <c r="P13" s="810"/>
      <c r="Q13" s="810">
        <v>15.8434163701068</v>
      </c>
      <c r="R13" s="810">
        <v>18.8537909764515</v>
      </c>
      <c r="S13" s="810">
        <v>16.8352037998016</v>
      </c>
      <c r="T13" s="810">
        <v>38.5794018387171</v>
      </c>
      <c r="U13" s="810"/>
      <c r="V13" s="810"/>
      <c r="W13" s="810">
        <v>18.512978201015</v>
      </c>
      <c r="X13" s="810">
        <v>9.15970272820937</v>
      </c>
      <c r="Y13" s="810">
        <v>7.94526022905572</v>
      </c>
      <c r="Z13" s="810">
        <v>8.19966844565514</v>
      </c>
      <c r="AA13" s="810"/>
      <c r="AB13" s="810">
        <v>8.87888928609957</v>
      </c>
      <c r="AC13" s="810">
        <v>7.5279009109696</v>
      </c>
      <c r="AD13" s="810">
        <v>8.0489253627524</v>
      </c>
      <c r="AE13" s="810">
        <v>7.41730074908375</v>
      </c>
      <c r="AF13" s="810">
        <v>7.65248463820518</v>
      </c>
      <c r="AG13" s="810"/>
      <c r="AH13" s="810">
        <v>6.97819960818866</v>
      </c>
      <c r="AI13" s="810">
        <v>6.32184233170597</v>
      </c>
      <c r="AJ13" s="8"/>
      <c r="AK13" s="340" t="str">
        <f t="shared" si="11"/>
        <v>3Q07</v>
      </c>
      <c r="AL13" s="933">
        <f t="shared" si="12"/>
        <v>21.9530201342282</v>
      </c>
      <c r="AM13" s="810">
        <v>18.0189389708436</v>
      </c>
      <c r="AN13" s="810">
        <v>14.3659743500337</v>
      </c>
      <c r="AO13" s="810">
        <v>20.1472392638037</v>
      </c>
      <c r="AP13" s="810">
        <v>14.1050583657588</v>
      </c>
      <c r="AQ13" s="934"/>
      <c r="AR13" s="933">
        <f t="shared" si="13"/>
        <v>18.8537909764515</v>
      </c>
      <c r="AS13" s="810">
        <v>20.6736201651456</v>
      </c>
      <c r="AT13" s="810">
        <v>19.4244121565757</v>
      </c>
      <c r="AU13" s="810">
        <v>18.9607390300231</v>
      </c>
      <c r="AV13" s="810">
        <v>14.9054276315789</v>
      </c>
      <c r="AW13" s="934"/>
      <c r="AX13" s="933">
        <f t="shared" si="14"/>
        <v>9.15970272820937</v>
      </c>
      <c r="AY13" s="810">
        <v>10.3669599181416</v>
      </c>
      <c r="AZ13" s="810">
        <v>11.1857641603841</v>
      </c>
      <c r="BA13" s="810">
        <v>10.7758521211248</v>
      </c>
      <c r="BB13" s="810">
        <v>9.58501615579418</v>
      </c>
      <c r="BC13" s="934">
        <v>5.69296651382372</v>
      </c>
      <c r="BD13" s="933"/>
      <c r="BE13" s="810"/>
      <c r="BF13" s="810"/>
      <c r="BG13" s="810"/>
      <c r="BH13" s="810"/>
      <c r="BI13" s="934"/>
      <c r="BJ13" s="8"/>
      <c r="BK13" s="340" t="str">
        <f t="shared" si="15"/>
        <v>3Q07</v>
      </c>
      <c r="BL13" s="933">
        <f t="shared" si="16"/>
        <v>21.9530201342282</v>
      </c>
      <c r="BM13" s="810">
        <v>18.4916943521595</v>
      </c>
      <c r="BN13" s="810">
        <v>20.0438596491228</v>
      </c>
      <c r="BO13" s="810">
        <v>19.4145705295775</v>
      </c>
      <c r="BP13" s="810">
        <v>15.1250091313676</v>
      </c>
      <c r="BQ13" s="934">
        <v>15.635761589404</v>
      </c>
      <c r="BR13" s="933">
        <f t="shared" si="17"/>
        <v>18.8537909764515</v>
      </c>
      <c r="BS13" s="810">
        <v>24.4982394366197</v>
      </c>
      <c r="BT13" s="810">
        <v>19.6643717728055</v>
      </c>
      <c r="BU13" s="810">
        <v>17.2844452363636</v>
      </c>
      <c r="BV13" s="810">
        <v>16.4381128180137</v>
      </c>
      <c r="BW13" s="934">
        <v>15.2914507772021</v>
      </c>
      <c r="BX13" s="933">
        <f t="shared" si="18"/>
        <v>9.15970272820937</v>
      </c>
      <c r="BY13" s="810">
        <v>7.88023838323117</v>
      </c>
      <c r="BZ13" s="810"/>
      <c r="CA13" s="810">
        <v>12.5033257784677</v>
      </c>
      <c r="CB13" s="810">
        <v>9.07894458569696</v>
      </c>
      <c r="CC13" s="934">
        <v>8.28311190789697</v>
      </c>
      <c r="CD13" s="933"/>
      <c r="CE13" s="810"/>
      <c r="CF13" s="810"/>
      <c r="CG13" s="810"/>
      <c r="CH13" s="810"/>
      <c r="CI13" s="934"/>
    </row>
    <row r="14" ht="14.25" customHeight="1" spans="1:87" x14ac:dyDescent="0.25">
      <c r="A14" s="8"/>
      <c r="B14" s="8"/>
      <c r="C14" s="75"/>
      <c r="D14" s="8"/>
      <c r="E14" s="75" t="s">
        <v>1039</v>
      </c>
      <c r="F14" s="75" t="s">
        <v>1040</v>
      </c>
      <c r="G14" s="75" t="s">
        <v>1041</v>
      </c>
      <c r="H14" s="75" t="s">
        <v>1042</v>
      </c>
      <c r="I14" s="75">
        <v>3</v>
      </c>
      <c r="J14" s="7">
        <v>2007</v>
      </c>
      <c r="K14" s="340" t="s">
        <v>1052</v>
      </c>
      <c r="L14" s="933">
        <v>19.7169811320755</v>
      </c>
      <c r="M14" s="810">
        <v>16.0935960591133</v>
      </c>
      <c r="N14" s="810">
        <v>16.8350175561882</v>
      </c>
      <c r="O14" s="810"/>
      <c r="P14" s="810">
        <v>434.666666666667</v>
      </c>
      <c r="Q14" s="810">
        <v>21.1020408163265</v>
      </c>
      <c r="R14" s="810">
        <v>16.9918699186992</v>
      </c>
      <c r="S14" s="810">
        <v>14.4685562444641</v>
      </c>
      <c r="T14" s="810">
        <v>33.1318811466271</v>
      </c>
      <c r="U14" s="810"/>
      <c r="V14" s="810">
        <v>231.657785950942</v>
      </c>
      <c r="W14" s="810">
        <v>20.3543307086614</v>
      </c>
      <c r="X14" s="810">
        <v>9.01232945031384</v>
      </c>
      <c r="Y14" s="810">
        <v>7.15104471426339</v>
      </c>
      <c r="Z14" s="810">
        <v>7.70530329996826</v>
      </c>
      <c r="AA14" s="810"/>
      <c r="AB14" s="810">
        <v>8.94474660372648</v>
      </c>
      <c r="AC14" s="810">
        <v>8.29496922853574</v>
      </c>
      <c r="AD14" s="810">
        <v>7.71343525582016</v>
      </c>
      <c r="AE14" s="810">
        <v>6.63115236534156</v>
      </c>
      <c r="AF14" s="810">
        <v>6.96326155793481</v>
      </c>
      <c r="AG14" s="810"/>
      <c r="AH14" s="810">
        <v>6.94659309126228</v>
      </c>
      <c r="AI14" s="810">
        <v>6.77030061388628</v>
      </c>
      <c r="AJ14" s="8"/>
      <c r="AK14" s="340" t="str">
        <f t="shared" si="11"/>
        <v>4Q07</v>
      </c>
      <c r="AL14" s="933">
        <f t="shared" si="12"/>
        <v>19.7169811320755</v>
      </c>
      <c r="AM14" s="810">
        <v>17.4810601955945</v>
      </c>
      <c r="AN14" s="810">
        <v>15.5222617083941</v>
      </c>
      <c r="AO14" s="810">
        <v>18.6666666666667</v>
      </c>
      <c r="AP14" s="810">
        <v>15.4574257425743</v>
      </c>
      <c r="AQ14" s="934"/>
      <c r="AR14" s="933">
        <f t="shared" si="13"/>
        <v>16.9918699186992</v>
      </c>
      <c r="AS14" s="810">
        <v>19.7559931506849</v>
      </c>
      <c r="AT14" s="810">
        <v>18.1815152343096</v>
      </c>
      <c r="AU14" s="810">
        <v>16.1476355247982</v>
      </c>
      <c r="AV14" s="810">
        <v>15.7315598548972</v>
      </c>
      <c r="AW14" s="934"/>
      <c r="AX14" s="933">
        <f t="shared" si="14"/>
        <v>9.01232945031384</v>
      </c>
      <c r="AY14" s="810">
        <v>10.1269007814659</v>
      </c>
      <c r="AZ14" s="810">
        <v>10.1162324790173</v>
      </c>
      <c r="BA14" s="810">
        <v>11.2636629241168</v>
      </c>
      <c r="BB14" s="810">
        <v>11.3925268271013</v>
      </c>
      <c r="BC14" s="934">
        <v>6.44598235164602</v>
      </c>
      <c r="BD14" s="933"/>
      <c r="BE14" s="810"/>
      <c r="BF14" s="810"/>
      <c r="BG14" s="810"/>
      <c r="BH14" s="810"/>
      <c r="BI14" s="934"/>
      <c r="BJ14" s="8"/>
      <c r="BK14" s="340" t="str">
        <f t="shared" si="15"/>
        <v>4Q07</v>
      </c>
      <c r="BL14" s="933">
        <f t="shared" si="16"/>
        <v>19.7169811320755</v>
      </c>
      <c r="BM14" s="810">
        <v>21.9936102236422</v>
      </c>
      <c r="BN14" s="810">
        <v>19.817843866171</v>
      </c>
      <c r="BO14" s="810">
        <v>20.3226270304026</v>
      </c>
      <c r="BP14" s="810">
        <v>15.7768957317849</v>
      </c>
      <c r="BQ14" s="934">
        <v>16.8366013071895</v>
      </c>
      <c r="BR14" s="933">
        <f t="shared" si="17"/>
        <v>16.9918699186992</v>
      </c>
      <c r="BS14" s="810">
        <v>22.0499679692505</v>
      </c>
      <c r="BT14" s="810">
        <v>20.9222919937206</v>
      </c>
      <c r="BU14" s="810">
        <v>18.2631639477374</v>
      </c>
      <c r="BV14" s="810">
        <v>15.9982552382258</v>
      </c>
      <c r="BW14" s="934">
        <v>16.6122098022356</v>
      </c>
      <c r="BX14" s="933">
        <f t="shared" si="18"/>
        <v>9.01232945031384</v>
      </c>
      <c r="BY14" s="810">
        <v>9.11842510539123</v>
      </c>
      <c r="BZ14" s="810"/>
      <c r="CA14" s="810">
        <v>19.2130441562616</v>
      </c>
      <c r="CB14" s="810">
        <v>9.10394617290455</v>
      </c>
      <c r="CC14" s="934">
        <v>9.17891227629023</v>
      </c>
      <c r="CD14" s="933"/>
      <c r="CE14" s="810"/>
      <c r="CF14" s="810"/>
      <c r="CG14" s="810"/>
      <c r="CH14" s="810"/>
      <c r="CI14" s="934"/>
    </row>
    <row r="15" ht="14.25" customHeight="1" spans="1:87" x14ac:dyDescent="0.25">
      <c r="A15" s="8"/>
      <c r="B15" s="8"/>
      <c r="C15" s="8" t="s">
        <v>1053</v>
      </c>
      <c r="D15" s="8"/>
      <c r="E15" s="753">
        <f>AVERAGE(L8:L75)</f>
        <v>23.74721476956127</v>
      </c>
      <c r="F15" s="753">
        <f>AVERAGE(R8:R75)</f>
        <v>20.220224532077694</v>
      </c>
      <c r="G15" s="753">
        <f>AVERAGE(X8:X75)</f>
        <v>10.22757757848553</v>
      </c>
      <c r="H15" s="753">
        <f>AVERAGE(AD8:AD75)</f>
        <v>9.13675268476198</v>
      </c>
      <c r="I15" s="75">
        <v>4</v>
      </c>
      <c r="J15" s="7">
        <v>2007</v>
      </c>
      <c r="K15" s="340" t="s">
        <v>1054</v>
      </c>
      <c r="L15" s="933">
        <v>17.6144578313253</v>
      </c>
      <c r="M15" s="810">
        <v>16.2125603864734</v>
      </c>
      <c r="N15" s="810">
        <v>14.7430569635097</v>
      </c>
      <c r="O15" s="810"/>
      <c r="P15" s="810"/>
      <c r="Q15" s="810">
        <v>26.3157894736842</v>
      </c>
      <c r="R15" s="810">
        <v>15.8162156310216</v>
      </c>
      <c r="S15" s="810">
        <v>14.700234551296</v>
      </c>
      <c r="T15" s="810">
        <v>27.5247974336809</v>
      </c>
      <c r="U15" s="810"/>
      <c r="V15" s="810">
        <v>148.25215993177</v>
      </c>
      <c r="W15" s="810">
        <v>23.435935753092</v>
      </c>
      <c r="X15" s="810">
        <v>8.21464284605592</v>
      </c>
      <c r="Y15" s="810">
        <v>7.15567122236632</v>
      </c>
      <c r="Z15" s="810">
        <v>6.72300429158158</v>
      </c>
      <c r="AA15" s="810"/>
      <c r="AB15" s="810">
        <v>8.00726310234322</v>
      </c>
      <c r="AC15" s="810">
        <v>10.0060616250136</v>
      </c>
      <c r="AD15" s="810">
        <v>7.21526204881654</v>
      </c>
      <c r="AE15" s="810">
        <v>6.75311424408224</v>
      </c>
      <c r="AF15" s="810">
        <v>6.32092522213506</v>
      </c>
      <c r="AG15" s="810"/>
      <c r="AH15" s="810">
        <v>6.45208277503588</v>
      </c>
      <c r="AI15" s="810">
        <v>8.17868788120327</v>
      </c>
      <c r="AJ15" s="8"/>
      <c r="AK15" s="340" t="str">
        <f t="shared" si="11"/>
        <v>1Q08</v>
      </c>
      <c r="AL15" s="933">
        <f t="shared" si="12"/>
        <v>17.6144578313253</v>
      </c>
      <c r="AM15" s="810">
        <v>20.0781245138205</v>
      </c>
      <c r="AN15" s="810">
        <v>19.3154136802241</v>
      </c>
      <c r="AO15" s="810">
        <v>17.8809523809524</v>
      </c>
      <c r="AP15" s="810">
        <v>18.0419162535235</v>
      </c>
      <c r="AQ15" s="934"/>
      <c r="AR15" s="933">
        <f t="shared" si="13"/>
        <v>15.8162156310216</v>
      </c>
      <c r="AS15" s="810">
        <v>22.1075268817204</v>
      </c>
      <c r="AT15" s="810">
        <v>20.1782706468125</v>
      </c>
      <c r="AU15" s="810">
        <v>22.7059712773999</v>
      </c>
      <c r="AV15" s="810">
        <v>18.1287605294826</v>
      </c>
      <c r="AW15" s="934"/>
      <c r="AX15" s="933">
        <f t="shared" si="14"/>
        <v>8.21464284605592</v>
      </c>
      <c r="AY15" s="810">
        <v>10.883162475822</v>
      </c>
      <c r="AZ15" s="810">
        <v>10.5446324556368</v>
      </c>
      <c r="BA15" s="810">
        <v>11.294114858807</v>
      </c>
      <c r="BB15" s="810">
        <v>12.0667264935075</v>
      </c>
      <c r="BC15" s="934">
        <v>7.7573009425963</v>
      </c>
      <c r="BD15" s="933"/>
      <c r="BE15" s="810"/>
      <c r="BF15" s="810"/>
      <c r="BG15" s="810"/>
      <c r="BH15" s="810"/>
      <c r="BI15" s="934"/>
      <c r="BJ15" s="8"/>
      <c r="BK15" s="340" t="str">
        <f t="shared" si="15"/>
        <v>1Q08</v>
      </c>
      <c r="BL15" s="933">
        <f t="shared" si="16"/>
        <v>17.6144578313253</v>
      </c>
      <c r="BM15" s="810">
        <v>25.7826086956522</v>
      </c>
      <c r="BN15" s="810">
        <v>24.6401515151515</v>
      </c>
      <c r="BO15" s="810">
        <v>19.2126246822476</v>
      </c>
      <c r="BP15" s="810">
        <v>20.1426844728599</v>
      </c>
      <c r="BQ15" s="934">
        <v>20.2068230277186</v>
      </c>
      <c r="BR15" s="933">
        <f t="shared" si="17"/>
        <v>15.8162156310216</v>
      </c>
      <c r="BS15" s="810">
        <v>26.7117117117117</v>
      </c>
      <c r="BT15" s="810">
        <v>18.6603557085485</v>
      </c>
      <c r="BU15" s="810">
        <v>19.1878662190722</v>
      </c>
      <c r="BV15" s="810">
        <v>20.4796920637829</v>
      </c>
      <c r="BW15" s="934">
        <v>20.3281853281853</v>
      </c>
      <c r="BX15" s="933">
        <f t="shared" si="18"/>
        <v>8.21464284605592</v>
      </c>
      <c r="BY15" s="810">
        <v>10.5557385077167</v>
      </c>
      <c r="BZ15" s="810"/>
      <c r="CA15" s="810">
        <v>12.0164333674176</v>
      </c>
      <c r="CB15" s="810">
        <v>11.1252626809564</v>
      </c>
      <c r="CC15" s="934">
        <v>10.5473523792329</v>
      </c>
      <c r="CD15" s="933"/>
      <c r="CE15" s="810"/>
      <c r="CF15" s="810"/>
      <c r="CG15" s="810"/>
      <c r="CH15" s="810"/>
      <c r="CI15" s="934"/>
    </row>
    <row r="16" ht="14.25" customHeight="1" spans="1:87" x14ac:dyDescent="0.25">
      <c r="A16" s="8"/>
      <c r="B16" s="8"/>
      <c r="C16" s="8" t="s">
        <v>1055</v>
      </c>
      <c r="D16" s="8"/>
      <c r="E16" s="753">
        <f t="shared" ref="E16:H18" si="19">AVERAGE(E20,E24)</f>
        <v>21.21378190635781</v>
      </c>
      <c r="F16" s="753">
        <f t="shared" si="19"/>
        <v>18.309990952753978</v>
      </c>
      <c r="G16" s="753">
        <f t="shared" si="19"/>
        <v>9.334496387290631</v>
      </c>
      <c r="H16" s="753">
        <f t="shared" si="19"/>
        <v>7.899856711497899</v>
      </c>
      <c r="I16" s="75">
        <v>1</v>
      </c>
      <c r="J16" s="7">
        <v>2008</v>
      </c>
      <c r="K16" s="340" t="s">
        <v>1056</v>
      </c>
      <c r="L16" s="933">
        <v>17.4705882352941</v>
      </c>
      <c r="M16" s="810">
        <v>17.6214953271028</v>
      </c>
      <c r="N16" s="810">
        <v>15.8823215277136</v>
      </c>
      <c r="O16" s="810"/>
      <c r="P16" s="810"/>
      <c r="Q16" s="810">
        <v>24.5882352941176</v>
      </c>
      <c r="R16" s="810">
        <v>15.5600734254707</v>
      </c>
      <c r="S16" s="810">
        <v>15.9770511267919</v>
      </c>
      <c r="T16" s="810">
        <v>27.0469729569277</v>
      </c>
      <c r="U16" s="810"/>
      <c r="V16" s="810">
        <v>85.6522715605749</v>
      </c>
      <c r="W16" s="810">
        <v>25.1590955621834</v>
      </c>
      <c r="X16" s="810">
        <v>8.16290204205225</v>
      </c>
      <c r="Y16" s="810">
        <v>7.77462445292792</v>
      </c>
      <c r="Z16" s="810">
        <v>6.99516554982982</v>
      </c>
      <c r="AA16" s="810"/>
      <c r="AB16" s="810">
        <v>6.87859211179557</v>
      </c>
      <c r="AC16" s="810">
        <v>11.7659226685082</v>
      </c>
      <c r="AD16" s="810">
        <v>7.35251489313877</v>
      </c>
      <c r="AE16" s="810">
        <v>7.31166965252253</v>
      </c>
      <c r="AF16" s="810">
        <v>6.751027298207</v>
      </c>
      <c r="AG16" s="810"/>
      <c r="AH16" s="810">
        <v>6.66805934394235</v>
      </c>
      <c r="AI16" s="810">
        <v>9.75565749322345</v>
      </c>
      <c r="AJ16" s="8"/>
      <c r="AK16" s="340" t="str">
        <f t="shared" si="11"/>
        <v>2Q08</v>
      </c>
      <c r="AL16" s="933">
        <f t="shared" si="12"/>
        <v>17.4705882352941</v>
      </c>
      <c r="AM16" s="810">
        <v>17.1578944138873</v>
      </c>
      <c r="AN16" s="810">
        <v>17.964677885176</v>
      </c>
      <c r="AO16" s="810">
        <v>18.9939393939394</v>
      </c>
      <c r="AP16" s="810">
        <v>17.8303394062093</v>
      </c>
      <c r="AQ16" s="934"/>
      <c r="AR16" s="933">
        <f t="shared" si="13"/>
        <v>15.5600734254707</v>
      </c>
      <c r="AS16" s="810">
        <v>18.0466587584025</v>
      </c>
      <c r="AT16" s="810">
        <v>15.2884330339041</v>
      </c>
      <c r="AU16" s="810">
        <v>24.2007722007722</v>
      </c>
      <c r="AV16" s="810">
        <v>15.9574848160057</v>
      </c>
      <c r="AW16" s="934"/>
      <c r="AX16" s="933">
        <f t="shared" si="14"/>
        <v>8.16290204205225</v>
      </c>
      <c r="AY16" s="810">
        <v>9.4015377156013</v>
      </c>
      <c r="AZ16" s="810">
        <v>10.1759737942789</v>
      </c>
      <c r="BA16" s="810">
        <v>12.1605676983264</v>
      </c>
      <c r="BB16" s="810">
        <v>12.000659807003</v>
      </c>
      <c r="BC16" s="934">
        <v>8.87294525283335</v>
      </c>
      <c r="BD16" s="933"/>
      <c r="BE16" s="810"/>
      <c r="BF16" s="810"/>
      <c r="BG16" s="810"/>
      <c r="BH16" s="810"/>
      <c r="BI16" s="934"/>
      <c r="BJ16" s="8"/>
      <c r="BK16" s="340" t="str">
        <f t="shared" si="15"/>
        <v>2Q08</v>
      </c>
      <c r="BL16" s="933">
        <f t="shared" si="16"/>
        <v>17.4705882352941</v>
      </c>
      <c r="BM16" s="810">
        <v>19.7182044887781</v>
      </c>
      <c r="BN16" s="810">
        <v>22.7993421052632</v>
      </c>
      <c r="BO16" s="810">
        <v>18.9273500743124</v>
      </c>
      <c r="BP16" s="810">
        <v>19.8921496855779</v>
      </c>
      <c r="BQ16" s="934">
        <v>18.0543933054393</v>
      </c>
      <c r="BR16" s="933">
        <f t="shared" si="17"/>
        <v>15.5600734254707</v>
      </c>
      <c r="BS16" s="810">
        <v>17.7845254161044</v>
      </c>
      <c r="BT16" s="810">
        <v>17.2756729810568</v>
      </c>
      <c r="BU16" s="810">
        <v>18.6981470541746</v>
      </c>
      <c r="BV16" s="810">
        <v>21.0760513346214</v>
      </c>
      <c r="BW16" s="934">
        <v>16.5515918680476</v>
      </c>
      <c r="BX16" s="933">
        <f t="shared" si="18"/>
        <v>8.16290204205225</v>
      </c>
      <c r="BY16" s="810">
        <v>9.02621661418133</v>
      </c>
      <c r="BZ16" s="810"/>
      <c r="CA16" s="810">
        <v>11.6418359774573</v>
      </c>
      <c r="CB16" s="810">
        <v>11.3025559147528</v>
      </c>
      <c r="CC16" s="934">
        <v>10.0109727373618</v>
      </c>
      <c r="CD16" s="933"/>
      <c r="CE16" s="810"/>
      <c r="CF16" s="810"/>
      <c r="CG16" s="810"/>
      <c r="CH16" s="810"/>
      <c r="CI16" s="934"/>
    </row>
    <row r="17" ht="14.25" customHeight="1" spans="1:87" x14ac:dyDescent="0.25">
      <c r="A17" s="8"/>
      <c r="B17" s="8"/>
      <c r="C17" s="8" t="s">
        <v>1057</v>
      </c>
      <c r="D17" s="8"/>
      <c r="E17" s="753">
        <f t="shared" si="19"/>
        <v>24.9857290643111</v>
      </c>
      <c r="F17" s="753">
        <f t="shared" si="19"/>
        <v>19.674468865382714</v>
      </c>
      <c r="G17" s="753">
        <f t="shared" si="19"/>
        <v>10.451235665075723</v>
      </c>
      <c r="H17" s="753">
        <f t="shared" si="19"/>
        <v>8.617477128790874</v>
      </c>
      <c r="I17" s="75">
        <v>2</v>
      </c>
      <c r="J17" s="7">
        <v>2008</v>
      </c>
      <c r="K17" s="340" t="s">
        <v>1058</v>
      </c>
      <c r="L17" s="933">
        <v>18.5061728395062</v>
      </c>
      <c r="M17" s="810">
        <v>14.2488687782805</v>
      </c>
      <c r="N17" s="810">
        <v>10.6072997470881</v>
      </c>
      <c r="O17" s="810"/>
      <c r="P17" s="810">
        <v>45.1538461538462</v>
      </c>
      <c r="Q17" s="810">
        <v>22.7441077441077</v>
      </c>
      <c r="R17" s="810">
        <v>15.5165246143038</v>
      </c>
      <c r="S17" s="810">
        <v>12.9380605691587</v>
      </c>
      <c r="T17" s="810">
        <v>19.6304193209221</v>
      </c>
      <c r="U17" s="810"/>
      <c r="V17" s="810">
        <v>45.3425744669594</v>
      </c>
      <c r="W17" s="810">
        <v>22.7101268920158</v>
      </c>
      <c r="X17" s="810">
        <v>8.51439242512491</v>
      </c>
      <c r="Y17" s="810">
        <v>6.82145959799755</v>
      </c>
      <c r="Z17" s="810">
        <v>5.36491157271313</v>
      </c>
      <c r="AA17" s="810"/>
      <c r="AB17" s="810">
        <v>6.92321260398438</v>
      </c>
      <c r="AC17" s="810">
        <v>9.4166332769986</v>
      </c>
      <c r="AD17" s="810">
        <v>7.26803931341874</v>
      </c>
      <c r="AE17" s="810">
        <v>6.38503828156125</v>
      </c>
      <c r="AF17" s="810">
        <v>5.34784237212222</v>
      </c>
      <c r="AG17" s="810"/>
      <c r="AH17" s="810">
        <v>6.41597439003603</v>
      </c>
      <c r="AI17" s="810">
        <v>7.85738987019822</v>
      </c>
      <c r="AJ17" s="8"/>
      <c r="AK17" s="340" t="str">
        <f t="shared" si="11"/>
        <v>3Q08</v>
      </c>
      <c r="AL17" s="933">
        <f t="shared" si="12"/>
        <v>18.5061728395062</v>
      </c>
      <c r="AM17" s="810">
        <v>19.1470584543003</v>
      </c>
      <c r="AN17" s="810">
        <v>18.700749834615</v>
      </c>
      <c r="AO17" s="810">
        <v>22.6392405063291</v>
      </c>
      <c r="AP17" s="810">
        <v>19.0229884014843</v>
      </c>
      <c r="AQ17" s="934">
        <v>24.9147727272727</v>
      </c>
      <c r="AR17" s="933">
        <f t="shared" si="13"/>
        <v>15.5165246143038</v>
      </c>
      <c r="AS17" s="810">
        <v>19.7272727272727</v>
      </c>
      <c r="AT17" s="810">
        <v>16.5025248069106</v>
      </c>
      <c r="AU17" s="810">
        <v>26.4375461936438</v>
      </c>
      <c r="AV17" s="810">
        <v>17.1621154510888</v>
      </c>
      <c r="AW17" s="934"/>
      <c r="AX17" s="933">
        <f t="shared" si="14"/>
        <v>8.51439242512491</v>
      </c>
      <c r="AY17" s="810">
        <v>9.95245399025653</v>
      </c>
      <c r="AZ17" s="810">
        <v>10.214673565937</v>
      </c>
      <c r="BA17" s="810">
        <v>12.6131830189275</v>
      </c>
      <c r="BB17" s="810">
        <v>12.0972903732795</v>
      </c>
      <c r="BC17" s="934">
        <v>8.01996146287317</v>
      </c>
      <c r="BD17" s="933"/>
      <c r="BE17" s="810"/>
      <c r="BF17" s="810"/>
      <c r="BG17" s="810"/>
      <c r="BH17" s="810"/>
      <c r="BI17" s="934"/>
      <c r="BJ17" s="8"/>
      <c r="BK17" s="340" t="str">
        <f t="shared" si="15"/>
        <v>3Q08</v>
      </c>
      <c r="BL17" s="933">
        <f t="shared" si="16"/>
        <v>18.5061728395062</v>
      </c>
      <c r="BM17" s="810">
        <v>18.0136054421769</v>
      </c>
      <c r="BN17" s="810">
        <v>18.2181818181818</v>
      </c>
      <c r="BO17" s="810">
        <v>20.0932549936999</v>
      </c>
      <c r="BP17" s="810">
        <v>20.5128525090277</v>
      </c>
      <c r="BQ17" s="934">
        <v>18.296</v>
      </c>
      <c r="BR17" s="933">
        <f t="shared" si="17"/>
        <v>15.5165246143038</v>
      </c>
      <c r="BS17" s="810">
        <v>14.4436363636364</v>
      </c>
      <c r="BT17" s="810">
        <v>14.955223880597</v>
      </c>
      <c r="BU17" s="810">
        <v>19.8499333078394</v>
      </c>
      <c r="BV17" s="810">
        <v>21.8358480058529</v>
      </c>
      <c r="BW17" s="934">
        <v>17.3652239939256</v>
      </c>
      <c r="BX17" s="933">
        <f t="shared" si="18"/>
        <v>8.51439242512491</v>
      </c>
      <c r="BY17" s="810">
        <v>8.58797299804687</v>
      </c>
      <c r="BZ17" s="810"/>
      <c r="CA17" s="810">
        <v>13.5574812819828</v>
      </c>
      <c r="CB17" s="810">
        <v>12.8221316954229</v>
      </c>
      <c r="CC17" s="934">
        <v>9.89004761598154</v>
      </c>
      <c r="CD17" s="933"/>
      <c r="CE17" s="810"/>
      <c r="CF17" s="810"/>
      <c r="CG17" s="810"/>
      <c r="CH17" s="810"/>
      <c r="CI17" s="934"/>
    </row>
    <row r="18" ht="14.25" customHeight="1" spans="1:87" x14ac:dyDescent="0.25">
      <c r="A18" s="8"/>
      <c r="B18" s="8"/>
      <c r="C18" s="8" t="s">
        <v>1059</v>
      </c>
      <c r="D18" s="8"/>
      <c r="E18" s="753">
        <f t="shared" si="19"/>
        <v>22.901526328120326</v>
      </c>
      <c r="F18" s="753">
        <f t="shared" si="19"/>
        <v>20.67172881703987</v>
      </c>
      <c r="G18" s="753">
        <f t="shared" si="19"/>
        <v>10.482007514382902</v>
      </c>
      <c r="H18" s="753">
        <f t="shared" si="19"/>
        <v>9.848213098815366</v>
      </c>
      <c r="I18" s="75">
        <v>3</v>
      </c>
      <c r="J18" s="7">
        <v>2008</v>
      </c>
      <c r="K18" s="340" t="s">
        <v>1060</v>
      </c>
      <c r="L18" s="933">
        <v>15.0242424242424</v>
      </c>
      <c r="M18" s="810">
        <v>14.5991189427313</v>
      </c>
      <c r="N18" s="810">
        <v>5.7369133546287</v>
      </c>
      <c r="O18" s="810"/>
      <c r="P18" s="810">
        <v>20.4</v>
      </c>
      <c r="Q18" s="810">
        <v>21.4324324324324</v>
      </c>
      <c r="R18" s="810">
        <v>13.6508810572687</v>
      </c>
      <c r="S18" s="810">
        <v>14.8324808184143</v>
      </c>
      <c r="T18" s="810">
        <v>12.5906789812601</v>
      </c>
      <c r="U18" s="810"/>
      <c r="V18" s="810">
        <v>44.8441656210791</v>
      </c>
      <c r="W18" s="810">
        <v>21.2173913043478</v>
      </c>
      <c r="X18" s="810">
        <v>12.613585716332</v>
      </c>
      <c r="Y18" s="810">
        <v>6.90150210977273</v>
      </c>
      <c r="Z18" s="810">
        <v>2.61072696261716</v>
      </c>
      <c r="AA18" s="810"/>
      <c r="AB18" s="810">
        <v>5.33348256784999</v>
      </c>
      <c r="AC18" s="810">
        <v>8.48759520163955</v>
      </c>
      <c r="AD18" s="810">
        <v>4.79758839175576</v>
      </c>
      <c r="AE18" s="810">
        <v>6.94357847312452</v>
      </c>
      <c r="AF18" s="810">
        <v>2.95354941115181</v>
      </c>
      <c r="AG18" s="810"/>
      <c r="AH18" s="810">
        <v>5.50865188922635</v>
      </c>
      <c r="AI18" s="810">
        <v>7.13285542724983</v>
      </c>
      <c r="AJ18" s="8"/>
      <c r="AK18" s="340" t="str">
        <f t="shared" si="11"/>
        <v>4Q08</v>
      </c>
      <c r="AL18" s="933">
        <f t="shared" si="12"/>
        <v>15.0242424242424</v>
      </c>
      <c r="AM18" s="810">
        <v>20.283636187782</v>
      </c>
      <c r="AN18" s="810">
        <v>17.0052012260412</v>
      </c>
      <c r="AO18" s="810">
        <v>24.3461538461538</v>
      </c>
      <c r="AP18" s="810">
        <v>18.7683820568193</v>
      </c>
      <c r="AQ18" s="934">
        <v>25.5397727272727</v>
      </c>
      <c r="AR18" s="933">
        <f t="shared" si="13"/>
        <v>13.6508810572687</v>
      </c>
      <c r="AS18" s="810">
        <v>20.7824143070045</v>
      </c>
      <c r="AT18" s="810">
        <v>16.1319764611537</v>
      </c>
      <c r="AU18" s="810">
        <v>27.8241758241758</v>
      </c>
      <c r="AV18" s="810">
        <v>17.2875042329834</v>
      </c>
      <c r="AW18" s="934"/>
      <c r="AX18" s="933">
        <f t="shared" si="14"/>
        <v>12.613585716332</v>
      </c>
      <c r="AY18" s="810">
        <v>10.2475201845274</v>
      </c>
      <c r="AZ18" s="810">
        <v>9.51743184236952</v>
      </c>
      <c r="BA18" s="810">
        <v>12.2776011231134</v>
      </c>
      <c r="BB18" s="810">
        <v>11.4778476285343</v>
      </c>
      <c r="BC18" s="934">
        <v>8.17718077005582</v>
      </c>
      <c r="BD18" s="933"/>
      <c r="BE18" s="810"/>
      <c r="BF18" s="810"/>
      <c r="BG18" s="810"/>
      <c r="BH18" s="810"/>
      <c r="BI18" s="934"/>
      <c r="BJ18" s="8"/>
      <c r="BK18" s="340" t="str">
        <f t="shared" si="15"/>
        <v>4Q08</v>
      </c>
      <c r="BL18" s="933">
        <f t="shared" si="16"/>
        <v>15.0242424242424</v>
      </c>
      <c r="BM18" s="810">
        <v>15.8366141732283</v>
      </c>
      <c r="BN18" s="810">
        <v>14.6371882086168</v>
      </c>
      <c r="BO18" s="810">
        <v>21.0972692888889</v>
      </c>
      <c r="BP18" s="810">
        <v>19.2874618016375</v>
      </c>
      <c r="BQ18" s="934">
        <v>17.8206106870229</v>
      </c>
      <c r="BR18" s="933">
        <f t="shared" si="17"/>
        <v>13.6508810572687</v>
      </c>
      <c r="BS18" s="810">
        <v>14.143811533052</v>
      </c>
      <c r="BT18" s="810">
        <v>12.5779423226812</v>
      </c>
      <c r="BU18" s="810">
        <v>20.4944901663492</v>
      </c>
      <c r="BV18" s="810">
        <v>20.2965561170621</v>
      </c>
      <c r="BW18" s="934">
        <v>17.0215092963908</v>
      </c>
      <c r="BX18" s="933">
        <f t="shared" si="18"/>
        <v>12.613585716332</v>
      </c>
      <c r="BY18" s="810">
        <v>8.08240337357128</v>
      </c>
      <c r="BZ18" s="810"/>
      <c r="CA18" s="810">
        <v>13.6957786457396</v>
      </c>
      <c r="CB18" s="810">
        <v>12.8479606538945</v>
      </c>
      <c r="CC18" s="934">
        <v>9.60016211905478</v>
      </c>
      <c r="CD18" s="933"/>
      <c r="CE18" s="810"/>
      <c r="CF18" s="810"/>
      <c r="CG18" s="810"/>
      <c r="CH18" s="810"/>
      <c r="CI18" s="934"/>
    </row>
    <row r="19" ht="14.25" customHeight="1" spans="1:87" x14ac:dyDescent="0.25">
      <c r="A19" s="8"/>
      <c r="B19" s="8"/>
      <c r="C19" s="8" t="s">
        <v>1061</v>
      </c>
      <c r="D19" s="8"/>
      <c r="E19" s="753">
        <f>AVERAGE(L8:L35)</f>
        <v>20.387068544699623</v>
      </c>
      <c r="F19" s="753">
        <f>AVERAGE(R8:R35)</f>
        <v>15.944510284632512</v>
      </c>
      <c r="G19" s="753">
        <f>AVERAGE(X8:X35)</f>
        <v>8.741377911624456</v>
      </c>
      <c r="H19" s="753">
        <f>AVERAGE(AD8:AD35)</f>
        <v>7.101572891020702</v>
      </c>
      <c r="I19" s="75">
        <v>4</v>
      </c>
      <c r="J19" s="7">
        <v>2008</v>
      </c>
      <c r="K19" s="340" t="s">
        <v>1062</v>
      </c>
      <c r="L19" s="933">
        <v>21.9871794871795</v>
      </c>
      <c r="M19" s="810">
        <v>11.5837104072398</v>
      </c>
      <c r="N19" s="810">
        <v>5.06732807013405</v>
      </c>
      <c r="O19" s="810"/>
      <c r="P19" s="810">
        <v>6.33333333333333</v>
      </c>
      <c r="Q19" s="810">
        <v>16.3265306122449</v>
      </c>
      <c r="R19" s="810">
        <v>11.8763933026609</v>
      </c>
      <c r="S19" s="810">
        <v>12.2564067729914</v>
      </c>
      <c r="T19" s="810">
        <v>12.2155906715375</v>
      </c>
      <c r="U19" s="810"/>
      <c r="V19" s="810"/>
      <c r="W19" s="810">
        <v>16.4155610523949</v>
      </c>
      <c r="X19" s="810">
        <v>17.4500781431643</v>
      </c>
      <c r="Y19" s="810">
        <v>6.01513039731495</v>
      </c>
      <c r="Z19" s="810">
        <v>3.4167992516655</v>
      </c>
      <c r="AA19" s="810"/>
      <c r="AB19" s="810">
        <v>5.29609418617583</v>
      </c>
      <c r="AC19" s="810">
        <v>5.83018398772795</v>
      </c>
      <c r="AD19" s="810">
        <v>5.54473983087066</v>
      </c>
      <c r="AE19" s="810">
        <v>6.11472737637577</v>
      </c>
      <c r="AF19" s="810">
        <v>4.10027165027665</v>
      </c>
      <c r="AG19" s="810"/>
      <c r="AH19" s="810">
        <v>5.50481234358443</v>
      </c>
      <c r="AI19" s="810">
        <v>5.30677478677786</v>
      </c>
      <c r="AJ19" s="8"/>
      <c r="AK19" s="340" t="str">
        <f t="shared" si="11"/>
        <v>1Q09</v>
      </c>
      <c r="AL19" s="933">
        <f t="shared" si="12"/>
        <v>21.9871794871795</v>
      </c>
      <c r="AM19" s="810">
        <v>19.4912279071203</v>
      </c>
      <c r="AN19" s="810">
        <v>16.6883893888325</v>
      </c>
      <c r="AO19" s="810">
        <v>24.7324840764331</v>
      </c>
      <c r="AP19" s="810">
        <v>17.4916383775587</v>
      </c>
      <c r="AQ19" s="934">
        <v>16.2323943661972</v>
      </c>
      <c r="AR19" s="933">
        <f t="shared" si="13"/>
        <v>11.8763933026609</v>
      </c>
      <c r="AS19" s="810">
        <v>20.3629032258064</v>
      </c>
      <c r="AT19" s="810">
        <v>16.26994082613</v>
      </c>
      <c r="AU19" s="810">
        <v>29.3277945619335</v>
      </c>
      <c r="AV19" s="810">
        <v>17.3293571901922</v>
      </c>
      <c r="AW19" s="934"/>
      <c r="AX19" s="933">
        <f t="shared" si="14"/>
        <v>17.4500781431643</v>
      </c>
      <c r="AY19" s="810">
        <v>10.7674086640521</v>
      </c>
      <c r="AZ19" s="810">
        <v>8.60474491581603</v>
      </c>
      <c r="BA19" s="810">
        <v>12.2104350605702</v>
      </c>
      <c r="BB19" s="810">
        <v>10.2696746314403</v>
      </c>
      <c r="BC19" s="934">
        <v>5.40103317680117</v>
      </c>
      <c r="BD19" s="933"/>
      <c r="BE19" s="810"/>
      <c r="BF19" s="810"/>
      <c r="BG19" s="810"/>
      <c r="BH19" s="810"/>
      <c r="BI19" s="934"/>
      <c r="BJ19" s="8"/>
      <c r="BK19" s="340" t="str">
        <f t="shared" si="15"/>
        <v>1Q09</v>
      </c>
      <c r="BL19" s="933">
        <f t="shared" si="16"/>
        <v>21.9871794871795</v>
      </c>
      <c r="BM19" s="810">
        <v>17.258407079646</v>
      </c>
      <c r="BN19" s="810">
        <v>13.3333333333333</v>
      </c>
      <c r="BO19" s="810">
        <v>21.7923454037267</v>
      </c>
      <c r="BP19" s="810">
        <v>18.2218412390662</v>
      </c>
      <c r="BQ19" s="934">
        <v>19.2100371747212</v>
      </c>
      <c r="BR19" s="933">
        <f t="shared" si="17"/>
        <v>11.8763933026609</v>
      </c>
      <c r="BS19" s="810">
        <v>16.9937260369467</v>
      </c>
      <c r="BT19" s="810">
        <v>12.3301292674843</v>
      </c>
      <c r="BU19" s="810">
        <v>22.2061241139241</v>
      </c>
      <c r="BV19" s="810">
        <v>20.0418586755485</v>
      </c>
      <c r="BW19" s="934">
        <v>18.7977446344125</v>
      </c>
      <c r="BX19" s="933">
        <f t="shared" si="18"/>
        <v>17.4500781431643</v>
      </c>
      <c r="BY19" s="810">
        <v>9.01958863284541</v>
      </c>
      <c r="BZ19" s="810"/>
      <c r="CA19" s="810">
        <v>13.8749350159271</v>
      </c>
      <c r="CB19" s="810">
        <v>13.6789537402863</v>
      </c>
      <c r="CC19" s="934">
        <v>10.4510562469768</v>
      </c>
      <c r="CD19" s="933"/>
      <c r="CE19" s="810"/>
      <c r="CF19" s="810"/>
      <c r="CG19" s="810"/>
      <c r="CH19" s="810"/>
      <c r="CI19" s="934"/>
    </row>
    <row r="20" ht="14.25" customHeight="1" spans="1:87" x14ac:dyDescent="0.25">
      <c r="A20" s="8"/>
      <c r="B20" s="8"/>
      <c r="C20" s="8" t="s">
        <v>1063</v>
      </c>
      <c r="D20" s="8"/>
      <c r="E20" s="753">
        <f>AVERAGE(L8:L19)</f>
        <v>19.937209522518966</v>
      </c>
      <c r="F20" s="753">
        <f>AVERAGE(R8:R19)</f>
        <v>16.773673829324515</v>
      </c>
      <c r="G20" s="753">
        <f>AVERAGE(X8:X19)</f>
        <v>9.784580278630274</v>
      </c>
      <c r="H20" s="753">
        <f>AVERAGE(AD8:AD19)</f>
        <v>7.33266205904735</v>
      </c>
      <c r="I20" s="75">
        <v>1</v>
      </c>
      <c r="J20" s="7">
        <v>2009</v>
      </c>
      <c r="K20" s="340" t="s">
        <v>1064</v>
      </c>
      <c r="L20" s="933">
        <v>32.454970556521</v>
      </c>
      <c r="M20" s="810">
        <v>12.9918962124655</v>
      </c>
      <c r="N20" s="810">
        <v>8.36469285938293</v>
      </c>
      <c r="O20" s="810"/>
      <c r="P20" s="810"/>
      <c r="Q20" s="810">
        <v>19.9471229443269</v>
      </c>
      <c r="R20" s="810">
        <v>16.0906784175975</v>
      </c>
      <c r="S20" s="810">
        <v>13.3320016550858</v>
      </c>
      <c r="T20" s="810">
        <v>15.3801737866993</v>
      </c>
      <c r="U20" s="810"/>
      <c r="V20" s="810"/>
      <c r="W20" s="810">
        <v>20.7271385430934</v>
      </c>
      <c r="X20" s="810">
        <v>13.6556074530065</v>
      </c>
      <c r="Y20" s="810">
        <v>6.49151955085622</v>
      </c>
      <c r="Z20" s="810">
        <v>4.67312825641677</v>
      </c>
      <c r="AA20" s="810"/>
      <c r="AB20" s="810">
        <v>5.29235234074361</v>
      </c>
      <c r="AC20" s="810">
        <v>7.14121184855389</v>
      </c>
      <c r="AD20" s="810">
        <v>6.45918271076435</v>
      </c>
      <c r="AE20" s="810">
        <v>6.52324845611606</v>
      </c>
      <c r="AF20" s="810">
        <v>5.05712444199266</v>
      </c>
      <c r="AG20" s="810"/>
      <c r="AH20" s="810">
        <v>5.30367328722349</v>
      </c>
      <c r="AI20" s="810">
        <v>6.37898799267342</v>
      </c>
      <c r="AJ20" s="8"/>
      <c r="AK20" s="340" t="str">
        <f t="shared" si="11"/>
        <v>2Q09</v>
      </c>
      <c r="AL20" s="933">
        <f t="shared" si="12"/>
        <v>32.454970556521</v>
      </c>
      <c r="AM20" s="810">
        <v>20.3533331715796</v>
      </c>
      <c r="AN20" s="810">
        <v>14.8843352711246</v>
      </c>
      <c r="AO20" s="810">
        <v>21.6201117318436</v>
      </c>
      <c r="AP20" s="810">
        <v>17.9013373644136</v>
      </c>
      <c r="AQ20" s="934">
        <v>18.2746478873239</v>
      </c>
      <c r="AR20" s="933">
        <f t="shared" si="13"/>
        <v>16.0906784175975</v>
      </c>
      <c r="AS20" s="810">
        <v>18.2759652798563</v>
      </c>
      <c r="AT20" s="810">
        <v>13.5724675837029</v>
      </c>
      <c r="AU20" s="810">
        <v>20.5087440381558</v>
      </c>
      <c r="AV20" s="810">
        <v>15.71953010279</v>
      </c>
      <c r="AW20" s="934">
        <v>13.586387434555</v>
      </c>
      <c r="AX20" s="933">
        <f t="shared" si="14"/>
        <v>13.6556074530065</v>
      </c>
      <c r="AY20" s="810">
        <v>10.3774982265422</v>
      </c>
      <c r="AZ20" s="810">
        <v>8.32260009072282</v>
      </c>
      <c r="BA20" s="810">
        <v>11.6311076834988</v>
      </c>
      <c r="BB20" s="810">
        <v>10.5217939917218</v>
      </c>
      <c r="BC20" s="934">
        <v>6.02203790579992</v>
      </c>
      <c r="BD20" s="933"/>
      <c r="BE20" s="810"/>
      <c r="BF20" s="810"/>
      <c r="BG20" s="810"/>
      <c r="BH20" s="810"/>
      <c r="BI20" s="934">
        <v>6.32046729906071</v>
      </c>
      <c r="BJ20" s="8"/>
      <c r="BK20" s="340" t="str">
        <f t="shared" si="15"/>
        <v>2Q09</v>
      </c>
      <c r="BL20" s="933">
        <f t="shared" si="16"/>
        <v>32.454970556521</v>
      </c>
      <c r="BM20" s="810">
        <v>14.9411764705882</v>
      </c>
      <c r="BN20" s="810">
        <v>11.6545138888889</v>
      </c>
      <c r="BO20" s="810">
        <v>21.3967441259259</v>
      </c>
      <c r="BP20" s="810">
        <v>17.8909144842303</v>
      </c>
      <c r="BQ20" s="934">
        <v>18.1860465116279</v>
      </c>
      <c r="BR20" s="933">
        <f t="shared" si="17"/>
        <v>16.0906784175975</v>
      </c>
      <c r="BS20" s="810">
        <v>12.5157404872707</v>
      </c>
      <c r="BT20" s="810">
        <v>11.2219993313273</v>
      </c>
      <c r="BU20" s="810">
        <v>19.1718614402655</v>
      </c>
      <c r="BV20" s="810">
        <v>17.5714338684405</v>
      </c>
      <c r="BW20" s="934">
        <v>16.753460777851</v>
      </c>
      <c r="BX20" s="933">
        <f t="shared" si="18"/>
        <v>13.6556074530065</v>
      </c>
      <c r="BY20" s="810">
        <v>8.27385494627539</v>
      </c>
      <c r="BZ20" s="810"/>
      <c r="CA20" s="810">
        <v>13.8084395686712</v>
      </c>
      <c r="CB20" s="810">
        <v>13.7812305778841</v>
      </c>
      <c r="CC20" s="934">
        <v>10.06424152212</v>
      </c>
      <c r="CD20" s="933"/>
      <c r="CE20" s="810"/>
      <c r="CF20" s="810"/>
      <c r="CG20" s="810">
        <v>27.8906291783535</v>
      </c>
      <c r="CH20" s="810"/>
      <c r="CI20" s="934"/>
    </row>
    <row r="21" ht="14.25" customHeight="1" spans="1:87" x14ac:dyDescent="0.25">
      <c r="A21" s="8"/>
      <c r="B21" s="8"/>
      <c r="C21" s="8" t="s">
        <v>1065</v>
      </c>
      <c r="D21" s="8"/>
      <c r="E21" s="753">
        <f>AVERAGE(L16:L27)</f>
        <v>22.698922114985876</v>
      </c>
      <c r="F21" s="753">
        <f>AVERAGE(R16:R27)</f>
        <v>15.43715377388299</v>
      </c>
      <c r="G21" s="753">
        <f>AVERAGE(X16:X27)</f>
        <v>9.667122928181954</v>
      </c>
      <c r="H21" s="753">
        <f>AVERAGE(AD16:AD27)</f>
        <v>6.640524425535173</v>
      </c>
      <c r="I21" s="75">
        <v>2</v>
      </c>
      <c r="J21" s="7">
        <v>2009</v>
      </c>
      <c r="K21" s="340" t="s">
        <v>1066</v>
      </c>
      <c r="L21" s="933">
        <v>33.4563128801138</v>
      </c>
      <c r="M21" s="810">
        <v>14.5732486566661</v>
      </c>
      <c r="N21" s="810">
        <v>9.30691662828699</v>
      </c>
      <c r="O21" s="810"/>
      <c r="P21" s="810"/>
      <c r="Q21" s="810">
        <v>22.8874564452843</v>
      </c>
      <c r="R21" s="810">
        <v>16.485945880093</v>
      </c>
      <c r="S21" s="810">
        <v>14.1876396731991</v>
      </c>
      <c r="T21" s="810">
        <v>16.6500069614221</v>
      </c>
      <c r="U21" s="810"/>
      <c r="V21" s="810"/>
      <c r="W21" s="810">
        <v>21.0634042155506</v>
      </c>
      <c r="X21" s="810">
        <v>10.4695501752693</v>
      </c>
      <c r="Y21" s="810">
        <v>6.92256304038443</v>
      </c>
      <c r="Z21" s="810">
        <v>5.85455702258163</v>
      </c>
      <c r="AA21" s="810"/>
      <c r="AB21" s="810">
        <v>5.75646997622408</v>
      </c>
      <c r="AC21" s="810">
        <v>8.85063109364367</v>
      </c>
      <c r="AD21" s="810">
        <v>6.51798502461841</v>
      </c>
      <c r="AE21" s="810">
        <v>6.77366352240977</v>
      </c>
      <c r="AF21" s="810">
        <v>6.28881495943544</v>
      </c>
      <c r="AG21" s="810"/>
      <c r="AH21" s="810">
        <v>5.43934712318064</v>
      </c>
      <c r="AI21" s="810">
        <v>5.59486187655712</v>
      </c>
      <c r="AJ21" s="8"/>
      <c r="AK21" s="340" t="str">
        <f t="shared" si="11"/>
        <v>3Q09</v>
      </c>
      <c r="AL21" s="933">
        <f t="shared" si="12"/>
        <v>33.4563128801138</v>
      </c>
      <c r="AM21" s="810">
        <v>19.657575771778</v>
      </c>
      <c r="AN21" s="810">
        <v>14.2796521296296</v>
      </c>
      <c r="AO21" s="810">
        <v>20.0615384615385</v>
      </c>
      <c r="AP21" s="810">
        <v>17.1156247577095</v>
      </c>
      <c r="AQ21" s="934">
        <v>16.2146892655367</v>
      </c>
      <c r="AR21" s="933">
        <f t="shared" si="13"/>
        <v>16.485945880093</v>
      </c>
      <c r="AS21" s="810">
        <v>18.3041760722348</v>
      </c>
      <c r="AT21" s="810">
        <v>13.1036807777778</v>
      </c>
      <c r="AU21" s="810">
        <v>19.9286805909322</v>
      </c>
      <c r="AV21" s="810">
        <v>15.7024082568807</v>
      </c>
      <c r="AW21" s="934">
        <v>15.0261780104712</v>
      </c>
      <c r="AX21" s="933">
        <f t="shared" si="14"/>
        <v>10.4695501752693</v>
      </c>
      <c r="AY21" s="810">
        <v>10.022293535005</v>
      </c>
      <c r="AZ21" s="810">
        <v>7.90501443792319</v>
      </c>
      <c r="BA21" s="810">
        <v>10.9872619593073</v>
      </c>
      <c r="BB21" s="810"/>
      <c r="BC21" s="934">
        <v>8.80582950510381</v>
      </c>
      <c r="BD21" s="933"/>
      <c r="BE21" s="810"/>
      <c r="BF21" s="810"/>
      <c r="BG21" s="810"/>
      <c r="BH21" s="810"/>
      <c r="BI21" s="934">
        <v>8.51924925493771</v>
      </c>
      <c r="BJ21" s="8"/>
      <c r="BK21" s="340" t="str">
        <f t="shared" si="15"/>
        <v>3Q09</v>
      </c>
      <c r="BL21" s="933">
        <f t="shared" si="16"/>
        <v>33.4563128801138</v>
      </c>
      <c r="BM21" s="810">
        <v>14.1619613670134</v>
      </c>
      <c r="BN21" s="810">
        <v>10.4117647058824</v>
      </c>
      <c r="BO21" s="810">
        <v>20.1862794</v>
      </c>
      <c r="BP21" s="810">
        <v>16.6056425073082</v>
      </c>
      <c r="BQ21" s="934">
        <v>17.6157804459691</v>
      </c>
      <c r="BR21" s="933">
        <f t="shared" si="17"/>
        <v>16.485945880093</v>
      </c>
      <c r="BS21" s="810">
        <v>12.0737268811756</v>
      </c>
      <c r="BT21" s="810">
        <v>10.378763866878</v>
      </c>
      <c r="BU21" s="810">
        <v>18.3714070656371</v>
      </c>
      <c r="BV21" s="810">
        <v>17.0522490295096</v>
      </c>
      <c r="BW21" s="934">
        <v>16.8250327653997</v>
      </c>
      <c r="BX21" s="933">
        <f t="shared" si="18"/>
        <v>10.4695501752693</v>
      </c>
      <c r="BY21" s="810">
        <v>7.98506943682416</v>
      </c>
      <c r="BZ21" s="810"/>
      <c r="CA21" s="810">
        <v>12.9726266960503</v>
      </c>
      <c r="CB21" s="810">
        <v>12.8277093823215</v>
      </c>
      <c r="CC21" s="934">
        <v>10.1722518312873</v>
      </c>
      <c r="CD21" s="933"/>
      <c r="CE21" s="810">
        <v>7.8171070404282</v>
      </c>
      <c r="CF21" s="810"/>
      <c r="CG21" s="810">
        <v>26.7661161852786</v>
      </c>
      <c r="CH21" s="810"/>
      <c r="CI21" s="934">
        <v>9.80040687200641</v>
      </c>
    </row>
    <row r="22" ht="14.25" customHeight="1" spans="1:87" x14ac:dyDescent="0.25">
      <c r="A22" s="8"/>
      <c r="B22" s="8"/>
      <c r="C22" s="8" t="s">
        <v>1067</v>
      </c>
      <c r="D22" s="8"/>
      <c r="E22" s="753">
        <f>AVERAGE(L24:L35)</f>
        <v>17.21623326535037</v>
      </c>
      <c r="F22" s="753">
        <f>AVERAGE(R24:R35)</f>
        <v>14.924913116855967</v>
      </c>
      <c r="G22" s="753">
        <f>AVERAGE(X24:X35)</f>
        <v>7.2727417987031275</v>
      </c>
      <c r="H22" s="753">
        <f>AVERAGE(AD24:AD35)</f>
        <v>7.009284042895799</v>
      </c>
      <c r="I22" s="75">
        <v>3</v>
      </c>
      <c r="J22" s="7">
        <v>2009</v>
      </c>
      <c r="K22" s="340" t="s">
        <v>1068</v>
      </c>
      <c r="L22" s="933">
        <v>39.7462752784064</v>
      </c>
      <c r="M22" s="810">
        <v>17.3327817192212</v>
      </c>
      <c r="N22" s="810">
        <v>11.286706649153</v>
      </c>
      <c r="O22" s="810"/>
      <c r="P22" s="810"/>
      <c r="Q22" s="810">
        <v>25.7703546244623</v>
      </c>
      <c r="R22" s="810">
        <v>16.8958885941645</v>
      </c>
      <c r="S22" s="810">
        <v>15.8856695379796</v>
      </c>
      <c r="T22" s="810">
        <v>20.0427898983274</v>
      </c>
      <c r="U22" s="810"/>
      <c r="V22" s="810"/>
      <c r="W22" s="810">
        <v>22.1141797197032</v>
      </c>
      <c r="X22" s="810">
        <v>8.78343726289328</v>
      </c>
      <c r="Y22" s="810">
        <v>7.71955070671132</v>
      </c>
      <c r="Z22" s="810">
        <v>6.34514668282335</v>
      </c>
      <c r="AA22" s="810"/>
      <c r="AB22" s="810">
        <v>6.18473025743436</v>
      </c>
      <c r="AC22" s="810">
        <v>10.7563452314296</v>
      </c>
      <c r="AD22" s="810">
        <v>6.79659417007697</v>
      </c>
      <c r="AE22" s="810">
        <v>7.33836687864542</v>
      </c>
      <c r="AF22" s="810">
        <v>6.22216913652151</v>
      </c>
      <c r="AG22" s="810"/>
      <c r="AH22" s="810">
        <v>5.55400690175431</v>
      </c>
      <c r="AI22" s="810">
        <v>6.85449880724711</v>
      </c>
      <c r="AJ22" s="8"/>
      <c r="AK22" s="340" t="str">
        <f t="shared" si="11"/>
        <v>4Q09</v>
      </c>
      <c r="AL22" s="933">
        <f t="shared" si="12"/>
        <v>39.7462752784064</v>
      </c>
      <c r="AM22" s="810">
        <v>17.0980392156863</v>
      </c>
      <c r="AN22" s="810">
        <v>14.6741425193452</v>
      </c>
      <c r="AO22" s="810">
        <v>18.5463414634146</v>
      </c>
      <c r="AP22" s="810">
        <v>17.5036603221083</v>
      </c>
      <c r="AQ22" s="934">
        <v>19.406779661017</v>
      </c>
      <c r="AR22" s="933">
        <f t="shared" si="13"/>
        <v>16.8958885941645</v>
      </c>
      <c r="AS22" s="810">
        <v>16.0758493547538</v>
      </c>
      <c r="AT22" s="810">
        <v>12.5076405035515</v>
      </c>
      <c r="AU22" s="810">
        <v>19.0004997501249</v>
      </c>
      <c r="AV22" s="810">
        <v>16.852269523541</v>
      </c>
      <c r="AW22" s="934">
        <v>16.2028301886792</v>
      </c>
      <c r="AX22" s="933">
        <f t="shared" si="14"/>
        <v>8.78343726289328</v>
      </c>
      <c r="AY22" s="810">
        <v>8.85585659875072</v>
      </c>
      <c r="AZ22" s="810">
        <v>7.86304877795203</v>
      </c>
      <c r="BA22" s="810">
        <v>10.2621107586187</v>
      </c>
      <c r="BB22" s="810"/>
      <c r="BC22" s="934">
        <v>10.1926114955517</v>
      </c>
      <c r="BD22" s="933">
        <f t="shared" ref="BD22:BD84" si="20">AD22</f>
        <v>6.79659417007697</v>
      </c>
      <c r="BE22" s="810">
        <v>8.02052961360611</v>
      </c>
      <c r="BF22" s="810">
        <v>7.33188710956758</v>
      </c>
      <c r="BG22" s="810">
        <v>9.44294226823773</v>
      </c>
      <c r="BH22" s="810">
        <v>9.41766242765802</v>
      </c>
      <c r="BI22" s="934">
        <v>10.2188931136207</v>
      </c>
      <c r="BJ22" s="8"/>
      <c r="BK22" s="340" t="str">
        <f t="shared" si="15"/>
        <v>4Q09</v>
      </c>
      <c r="BL22" s="933">
        <f t="shared" si="16"/>
        <v>39.7462752784064</v>
      </c>
      <c r="BM22" s="810">
        <v>16.2968099861304</v>
      </c>
      <c r="BN22" s="810">
        <v>9.77635782747604</v>
      </c>
      <c r="BO22" s="810">
        <v>19.03843214</v>
      </c>
      <c r="BP22" s="810">
        <v>16.2273142661321</v>
      </c>
      <c r="BQ22" s="934">
        <v>17.2225913621262</v>
      </c>
      <c r="BR22" s="933">
        <f t="shared" si="17"/>
        <v>16.8958885941645</v>
      </c>
      <c r="BS22" s="810">
        <v>14.2458777885548</v>
      </c>
      <c r="BT22" s="810">
        <v>10.6620209059233</v>
      </c>
      <c r="BU22" s="810">
        <v>17.8223208359031</v>
      </c>
      <c r="BV22" s="810">
        <v>17.0000435169003</v>
      </c>
      <c r="BW22" s="934">
        <v>16.869508623495</v>
      </c>
      <c r="BX22" s="933">
        <f t="shared" si="18"/>
        <v>8.78343726289328</v>
      </c>
      <c r="BY22" s="810">
        <v>8.8394808862531</v>
      </c>
      <c r="BZ22" s="810"/>
      <c r="CA22" s="810">
        <v>12.1583880831806</v>
      </c>
      <c r="CB22" s="810">
        <v>12.5701333982331</v>
      </c>
      <c r="CC22" s="934">
        <v>10.0294593414261</v>
      </c>
      <c r="CD22" s="933">
        <f t="shared" ref="CD22:CD84" si="21">BD22</f>
        <v>6.79659417007697</v>
      </c>
      <c r="CE22" s="810">
        <v>8.38393367640048</v>
      </c>
      <c r="CF22" s="810">
        <v>5.33821694698564</v>
      </c>
      <c r="CG22" s="810">
        <v>9.86346882858572</v>
      </c>
      <c r="CH22" s="810">
        <v>10.4046216084725</v>
      </c>
      <c r="CI22" s="934">
        <v>9.73529237361496</v>
      </c>
    </row>
    <row r="23" ht="14.25" customHeight="1" spans="1:87" x14ac:dyDescent="0.25">
      <c r="A23" s="8"/>
      <c r="B23" s="8"/>
      <c r="C23" s="8" t="s">
        <v>1069</v>
      </c>
      <c r="D23" s="8"/>
      <c r="E23" s="753">
        <f>AVERAGE(L36:L75)</f>
        <v>26.099317126964422</v>
      </c>
      <c r="F23" s="753">
        <f>AVERAGE(R36:R75)</f>
        <v>23.21322450528932</v>
      </c>
      <c r="G23" s="753">
        <f>AVERAGE(X36:X75)</f>
        <v>11.267917345288279</v>
      </c>
      <c r="H23" s="753">
        <f>AVERAGE(AD36:AD75)</f>
        <v>10.561378540380874</v>
      </c>
      <c r="I23" s="75">
        <v>4</v>
      </c>
      <c r="J23" s="7">
        <v>2009</v>
      </c>
      <c r="K23" s="340" t="s">
        <v>1070</v>
      </c>
      <c r="L23" s="933">
        <v>19.3390470821163</v>
      </c>
      <c r="M23" s="810">
        <v>17.3745241938862</v>
      </c>
      <c r="N23" s="810">
        <v>11.5498726401498</v>
      </c>
      <c r="O23" s="810"/>
      <c r="P23" s="810"/>
      <c r="Q23" s="810">
        <v>27.6221120077636</v>
      </c>
      <c r="R23" s="810">
        <v>16.5907317236896</v>
      </c>
      <c r="S23" s="810">
        <v>15.741350802916</v>
      </c>
      <c r="T23" s="810">
        <v>20.2270585077121</v>
      </c>
      <c r="U23" s="810"/>
      <c r="V23" s="810"/>
      <c r="W23" s="810">
        <v>22.6712129681386</v>
      </c>
      <c r="X23" s="810">
        <v>7.16212170631483</v>
      </c>
      <c r="Y23" s="810">
        <v>8.10238769791144</v>
      </c>
      <c r="Z23" s="810">
        <v>6.20318078052927</v>
      </c>
      <c r="AA23" s="810"/>
      <c r="AB23" s="810">
        <v>6.20509802655223</v>
      </c>
      <c r="AC23" s="810">
        <v>9.67164994041423</v>
      </c>
      <c r="AD23" s="810">
        <v>6.96692581980214</v>
      </c>
      <c r="AE23" s="810">
        <v>7.21120011758951</v>
      </c>
      <c r="AF23" s="810">
        <v>5.79108269216601</v>
      </c>
      <c r="AG23" s="810"/>
      <c r="AH23" s="810">
        <v>5.54219182954157</v>
      </c>
      <c r="AI23" s="810">
        <v>6.5256776130896</v>
      </c>
      <c r="AJ23" s="8"/>
      <c r="AK23" s="340" t="str">
        <f t="shared" si="11"/>
        <v>1Q10</v>
      </c>
      <c r="AL23" s="933">
        <f t="shared" si="12"/>
        <v>19.3390470821163</v>
      </c>
      <c r="AM23" s="810">
        <v>17.0980392156863</v>
      </c>
      <c r="AN23" s="810">
        <v>14.9398530326027</v>
      </c>
      <c r="AO23" s="810">
        <v>19.1190476190476</v>
      </c>
      <c r="AP23" s="810">
        <v>15.9287709497207</v>
      </c>
      <c r="AQ23" s="934">
        <v>27.4640287769784</v>
      </c>
      <c r="AR23" s="933">
        <f t="shared" si="13"/>
        <v>16.5907317236896</v>
      </c>
      <c r="AS23" s="810">
        <v>16.0722404647638</v>
      </c>
      <c r="AT23" s="810">
        <v>14.7619013451543</v>
      </c>
      <c r="AU23" s="810">
        <v>19.5758166747928</v>
      </c>
      <c r="AV23" s="810">
        <v>15.8226970033296</v>
      </c>
      <c r="AW23" s="934">
        <v>18.0070754716981</v>
      </c>
      <c r="AX23" s="933">
        <f t="shared" si="14"/>
        <v>7.16212170631483</v>
      </c>
      <c r="AY23" s="810">
        <v>8.14393988109869</v>
      </c>
      <c r="AZ23" s="810">
        <v>8.51506896797682</v>
      </c>
      <c r="BA23" s="810">
        <v>9.99949700916278</v>
      </c>
      <c r="BB23" s="810">
        <v>9.51634435930719</v>
      </c>
      <c r="BC23" s="934">
        <v>11.144456998288</v>
      </c>
      <c r="BD23" s="933">
        <f t="shared" si="20"/>
        <v>6.96692581980214</v>
      </c>
      <c r="BE23" s="810">
        <v>7.89003508895669</v>
      </c>
      <c r="BF23" s="810">
        <v>7.69701748867841</v>
      </c>
      <c r="BG23" s="810">
        <v>8.55207703377935</v>
      </c>
      <c r="BH23" s="810">
        <v>8.14331030360429</v>
      </c>
      <c r="BI23" s="934">
        <v>8.69454187226435</v>
      </c>
      <c r="BJ23" s="8"/>
      <c r="BK23" s="340" t="str">
        <f t="shared" si="15"/>
        <v>1Q10</v>
      </c>
      <c r="BL23" s="933">
        <f t="shared" si="16"/>
        <v>19.3390470821163</v>
      </c>
      <c r="BM23" s="810">
        <v>14.3172242874845</v>
      </c>
      <c r="BN23" s="810">
        <v>11.8865619546248</v>
      </c>
      <c r="BO23" s="810">
        <v>19.2524923257143</v>
      </c>
      <c r="BP23" s="810">
        <v>15.4856291599362</v>
      </c>
      <c r="BQ23" s="934">
        <v>17.8057324840764</v>
      </c>
      <c r="BR23" s="933">
        <f t="shared" si="17"/>
        <v>16.5907317236896</v>
      </c>
      <c r="BS23" s="810">
        <v>14.6401419158642</v>
      </c>
      <c r="BT23" s="810">
        <v>10.7768987341772</v>
      </c>
      <c r="BU23" s="810">
        <v>19.4077543605991</v>
      </c>
      <c r="BV23" s="810">
        <v>16.8786724303922</v>
      </c>
      <c r="BW23" s="934">
        <v>17.9948503379466</v>
      </c>
      <c r="BX23" s="933">
        <f t="shared" si="18"/>
        <v>7.16212170631483</v>
      </c>
      <c r="BY23" s="810">
        <v>8.04174963302337</v>
      </c>
      <c r="BZ23" s="810">
        <v>5.57286484093618</v>
      </c>
      <c r="CA23" s="810">
        <v>12.3021853597381</v>
      </c>
      <c r="CB23" s="810">
        <v>11.4719491585091</v>
      </c>
      <c r="CC23" s="934">
        <v>10.3347166358238</v>
      </c>
      <c r="CD23" s="933">
        <f t="shared" si="21"/>
        <v>6.96692581980214</v>
      </c>
      <c r="CE23" s="810">
        <v>7.0964548994156</v>
      </c>
      <c r="CF23" s="810">
        <v>5.77276339622483</v>
      </c>
      <c r="CG23" s="810">
        <v>9.44339138004464</v>
      </c>
      <c r="CH23" s="810">
        <v>8.65216305801951</v>
      </c>
      <c r="CI23" s="934">
        <v>9.26565185572825</v>
      </c>
    </row>
    <row r="24" ht="14.25" customHeight="1" spans="1:87" x14ac:dyDescent="0.25">
      <c r="A24" s="8"/>
      <c r="B24" s="8"/>
      <c r="C24" s="8" t="s">
        <v>1071</v>
      </c>
      <c r="D24" s="8"/>
      <c r="E24" s="753">
        <f>AVERAGE(L36:L51)</f>
        <v>22.490354290196652</v>
      </c>
      <c r="F24" s="753">
        <f>AVERAGE(R36:R51)</f>
        <v>19.846308076183444</v>
      </c>
      <c r="G24" s="753">
        <f>AVERAGE(X36:X51)</f>
        <v>8.88441249595099</v>
      </c>
      <c r="H24" s="753">
        <f>AVERAGE(AD36:AD51)</f>
        <v>8.467051363948446</v>
      </c>
      <c r="I24" s="75">
        <v>1</v>
      </c>
      <c r="J24" s="7">
        <v>2010</v>
      </c>
      <c r="K24" s="340" t="s">
        <v>1072</v>
      </c>
      <c r="L24" s="933">
        <v>18.0415374084269</v>
      </c>
      <c r="M24" s="810">
        <v>16.1692724912565</v>
      </c>
      <c r="N24" s="810">
        <v>13.0097491728974</v>
      </c>
      <c r="O24" s="810"/>
      <c r="P24" s="810"/>
      <c r="Q24" s="810">
        <v>30.5651773295765</v>
      </c>
      <c r="R24" s="810">
        <v>16.0278879166038</v>
      </c>
      <c r="S24" s="810">
        <v>13.9247165829458</v>
      </c>
      <c r="T24" s="810">
        <v>19.6648166946293</v>
      </c>
      <c r="U24" s="810"/>
      <c r="V24" s="810"/>
      <c r="W24" s="810">
        <v>22.049301762029</v>
      </c>
      <c r="X24" s="810">
        <v>7.10482065836195</v>
      </c>
      <c r="Y24" s="810">
        <v>7.55208161277956</v>
      </c>
      <c r="Z24" s="810">
        <v>6.54088236632932</v>
      </c>
      <c r="AA24" s="810"/>
      <c r="AB24" s="810">
        <v>5.4018267851317</v>
      </c>
      <c r="AC24" s="810">
        <v>10.132606125954</v>
      </c>
      <c r="AD24" s="810">
        <v>7.03717316588675</v>
      </c>
      <c r="AE24" s="810">
        <v>6.73479812842501</v>
      </c>
      <c r="AF24" s="810">
        <v>5.84366376442577</v>
      </c>
      <c r="AG24" s="810"/>
      <c r="AH24" s="810">
        <v>5.35518632247097</v>
      </c>
      <c r="AI24" s="810">
        <v>7.04127928394969</v>
      </c>
      <c r="AJ24" s="8"/>
      <c r="AK24" s="340" t="str">
        <f t="shared" si="11"/>
        <v>2Q10</v>
      </c>
      <c r="AL24" s="933">
        <f t="shared" si="12"/>
        <v>18.0415374084269</v>
      </c>
      <c r="AM24" s="810">
        <v>17.4720930232558</v>
      </c>
      <c r="AN24" s="810">
        <v>16.6535426857527</v>
      </c>
      <c r="AO24" s="810">
        <v>20.6486486486486</v>
      </c>
      <c r="AP24" s="810">
        <v>17.4808743169399</v>
      </c>
      <c r="AQ24" s="934">
        <v>30.2697841726619</v>
      </c>
      <c r="AR24" s="933">
        <f t="shared" si="13"/>
        <v>16.0278879166038</v>
      </c>
      <c r="AS24" s="810">
        <v>16.1500429922614</v>
      </c>
      <c r="AT24" s="810">
        <v>14.2711768696153</v>
      </c>
      <c r="AU24" s="810">
        <v>17.6851851851852</v>
      </c>
      <c r="AV24" s="810">
        <v>16.0190285428142</v>
      </c>
      <c r="AW24" s="934">
        <v>16.5649606299213</v>
      </c>
      <c r="AX24" s="933">
        <f t="shared" si="14"/>
        <v>7.10482065836195</v>
      </c>
      <c r="AY24" s="810">
        <v>8.61555833241446</v>
      </c>
      <c r="AZ24" s="810">
        <v>9.77164783427025</v>
      </c>
      <c r="BA24" s="810">
        <v>11.1010203748702</v>
      </c>
      <c r="BB24" s="810">
        <v>10.616211642331</v>
      </c>
      <c r="BC24" s="934">
        <v>12.2117798159006</v>
      </c>
      <c r="BD24" s="933">
        <f t="shared" si="20"/>
        <v>7.03717316588675</v>
      </c>
      <c r="BE24" s="810">
        <v>8.47923620690157</v>
      </c>
      <c r="BF24" s="810">
        <v>8.73491664130109</v>
      </c>
      <c r="BG24" s="810">
        <v>9.66165648553287</v>
      </c>
      <c r="BH24" s="810">
        <v>9.20147957997077</v>
      </c>
      <c r="BI24" s="934">
        <v>9.44777207299858</v>
      </c>
      <c r="BJ24" s="8"/>
      <c r="BK24" s="340" t="str">
        <f t="shared" si="15"/>
        <v>2Q10</v>
      </c>
      <c r="BL24" s="933">
        <f t="shared" si="16"/>
        <v>18.0415374084269</v>
      </c>
      <c r="BM24" s="810">
        <v>16.2466063348416</v>
      </c>
      <c r="BN24" s="810">
        <v>13.605851979346</v>
      </c>
      <c r="BO24" s="810">
        <v>18.5735131622222</v>
      </c>
      <c r="BP24" s="810">
        <v>16.8950805926133</v>
      </c>
      <c r="BQ24" s="934">
        <v>17.8369230769231</v>
      </c>
      <c r="BR24" s="933">
        <f t="shared" si="17"/>
        <v>16.0278879166038</v>
      </c>
      <c r="BS24" s="810">
        <v>14.4632426988922</v>
      </c>
      <c r="BT24" s="810">
        <v>12.6237623762376</v>
      </c>
      <c r="BU24" s="810">
        <v>18.1205006460705</v>
      </c>
      <c r="BV24" s="810">
        <v>16.4980325073736</v>
      </c>
      <c r="BW24" s="934">
        <v>16.4360646441735</v>
      </c>
      <c r="BX24" s="933">
        <f t="shared" si="18"/>
        <v>7.10482065836195</v>
      </c>
      <c r="BY24" s="810">
        <v>8.92992048937141</v>
      </c>
      <c r="BZ24" s="810">
        <v>6.39162415109242</v>
      </c>
      <c r="CA24" s="810">
        <v>12.2438373320001</v>
      </c>
      <c r="CB24" s="810">
        <v>12.2282689647088</v>
      </c>
      <c r="CC24" s="934">
        <v>10.2409050296403</v>
      </c>
      <c r="CD24" s="933">
        <f t="shared" si="21"/>
        <v>7.03717316588675</v>
      </c>
      <c r="CE24" s="810">
        <v>8.63452107677273</v>
      </c>
      <c r="CF24" s="810">
        <v>7.63712730640728</v>
      </c>
      <c r="CG24" s="810">
        <v>12.8046274714408</v>
      </c>
      <c r="CH24" s="810">
        <v>9.44700227696712</v>
      </c>
      <c r="CI24" s="934">
        <v>9.39085100873505</v>
      </c>
    </row>
    <row r="25" ht="14.25" customHeight="1" spans="1:87" x14ac:dyDescent="0.25">
      <c r="A25" s="8"/>
      <c r="B25" s="8"/>
      <c r="C25" s="8" t="s">
        <v>1073</v>
      </c>
      <c r="D25" s="8"/>
      <c r="E25" s="753">
        <f>AVERAGE(L48:L63)</f>
        <v>27.272536013636326</v>
      </c>
      <c r="F25" s="753">
        <f>AVERAGE(R48:R63)</f>
        <v>23.911783956882438</v>
      </c>
      <c r="G25" s="753">
        <f>AVERAGE(X48:X63)</f>
        <v>11.235348401969492</v>
      </c>
      <c r="H25" s="753">
        <f>AVERAGE(AD48:AD63)</f>
        <v>10.594429832046574</v>
      </c>
      <c r="I25" s="75">
        <v>2</v>
      </c>
      <c r="J25" s="7">
        <v>2010</v>
      </c>
      <c r="K25" s="340" t="s">
        <v>1074</v>
      </c>
      <c r="L25" s="933">
        <v>20.4235286552356</v>
      </c>
      <c r="M25" s="810">
        <v>18.687962787215</v>
      </c>
      <c r="N25" s="810">
        <v>13.9780895061644</v>
      </c>
      <c r="O25" s="810"/>
      <c r="P25" s="810"/>
      <c r="Q25" s="810">
        <v>18.3980773669704</v>
      </c>
      <c r="R25" s="810">
        <v>15.6120860039404</v>
      </c>
      <c r="S25" s="810">
        <v>15.5158612634536</v>
      </c>
      <c r="T25" s="810">
        <v>22.1020945654457</v>
      </c>
      <c r="U25" s="810"/>
      <c r="V25" s="810"/>
      <c r="W25" s="810">
        <v>20.2865792904298</v>
      </c>
      <c r="X25" s="810">
        <v>7.5134206676422</v>
      </c>
      <c r="Y25" s="810">
        <v>8.27086439092317</v>
      </c>
      <c r="Z25" s="810">
        <v>8.45644547890382</v>
      </c>
      <c r="AA25" s="810"/>
      <c r="AB25" s="810">
        <v>5.54674476034864</v>
      </c>
      <c r="AC25" s="810">
        <v>7.28534854566748</v>
      </c>
      <c r="AD25" s="810">
        <v>7.03023338587735</v>
      </c>
      <c r="AE25" s="810">
        <v>7.28159894919944</v>
      </c>
      <c r="AF25" s="810">
        <v>6.82229365576067</v>
      </c>
      <c r="AG25" s="810"/>
      <c r="AH25" s="810">
        <v>5.53573036231739</v>
      </c>
      <c r="AI25" s="810">
        <v>6.64782783089569</v>
      </c>
      <c r="AJ25" s="8"/>
      <c r="AK25" s="340" t="str">
        <f t="shared" si="11"/>
        <v>3Q10</v>
      </c>
      <c r="AL25" s="933">
        <f t="shared" si="12"/>
        <v>20.4235286552356</v>
      </c>
      <c r="AM25" s="810">
        <v>15.4279569892473</v>
      </c>
      <c r="AN25" s="810">
        <v>15.0553928170984</v>
      </c>
      <c r="AO25" s="810">
        <v>19.5482456140351</v>
      </c>
      <c r="AP25" s="810">
        <v>16.9585492227979</v>
      </c>
      <c r="AQ25" s="934">
        <v>30.5578512396694</v>
      </c>
      <c r="AR25" s="933">
        <f t="shared" si="13"/>
        <v>15.6120860039404</v>
      </c>
      <c r="AS25" s="810">
        <v>14.5991045991046</v>
      </c>
      <c r="AT25" s="810">
        <v>13.2498441117191</v>
      </c>
      <c r="AU25" s="810">
        <v>16.4404278863888</v>
      </c>
      <c r="AV25" s="810">
        <v>15.6677836285304</v>
      </c>
      <c r="AW25" s="934">
        <v>14.9092741935484</v>
      </c>
      <c r="AX25" s="933">
        <f t="shared" si="14"/>
        <v>7.5134206676422</v>
      </c>
      <c r="AY25" s="810">
        <v>7.63779299955548</v>
      </c>
      <c r="AZ25" s="810">
        <v>8.81353092988812</v>
      </c>
      <c r="BA25" s="810">
        <v>10.6843425636309</v>
      </c>
      <c r="BB25" s="810">
        <v>10.043763313574</v>
      </c>
      <c r="BC25" s="934">
        <v>9.895961637202</v>
      </c>
      <c r="BD25" s="933">
        <f t="shared" si="20"/>
        <v>7.03023338587735</v>
      </c>
      <c r="BE25" s="810">
        <v>7.65548728620756</v>
      </c>
      <c r="BF25" s="810">
        <v>7.99308465903532</v>
      </c>
      <c r="BG25" s="810">
        <v>8.95666163844804</v>
      </c>
      <c r="BH25" s="810">
        <v>9.6289268838999</v>
      </c>
      <c r="BI25" s="934">
        <v>8.63670687874056</v>
      </c>
      <c r="BJ25" s="8"/>
      <c r="BK25" s="340" t="str">
        <f t="shared" si="15"/>
        <v>3Q10</v>
      </c>
      <c r="BL25" s="933">
        <f t="shared" si="16"/>
        <v>20.4235286552356</v>
      </c>
      <c r="BM25" s="810">
        <v>15.3251028806584</v>
      </c>
      <c r="BN25" s="810">
        <v>14.4696707105719</v>
      </c>
      <c r="BO25" s="810">
        <v>17.1258627805405</v>
      </c>
      <c r="BP25" s="810">
        <v>14.9282872408329</v>
      </c>
      <c r="BQ25" s="934">
        <v>18.5982404692082</v>
      </c>
      <c r="BR25" s="933">
        <f t="shared" si="17"/>
        <v>15.6120860039404</v>
      </c>
      <c r="BS25" s="810">
        <v>14.0927152317881</v>
      </c>
      <c r="BT25" s="810">
        <v>13.0493904345108</v>
      </c>
      <c r="BU25" s="810">
        <v>15.9290327521368</v>
      </c>
      <c r="BV25" s="810">
        <v>15.4017254953595</v>
      </c>
      <c r="BW25" s="934">
        <v>17.5971143174251</v>
      </c>
      <c r="BX25" s="933">
        <f t="shared" si="18"/>
        <v>7.5134206676422</v>
      </c>
      <c r="BY25" s="810">
        <v>8.71342246572718</v>
      </c>
      <c r="BZ25" s="810">
        <v>6.58452980858521</v>
      </c>
      <c r="CA25" s="810">
        <v>11.1879267021409</v>
      </c>
      <c r="CB25" s="810">
        <v>10.8915271624449</v>
      </c>
      <c r="CC25" s="934">
        <v>10.6184235577362</v>
      </c>
      <c r="CD25" s="933">
        <f t="shared" si="21"/>
        <v>7.03023338587735</v>
      </c>
      <c r="CE25" s="810">
        <v>8.73196687365729</v>
      </c>
      <c r="CF25" s="810">
        <v>7.9292794875331</v>
      </c>
      <c r="CG25" s="810">
        <v>11.8924594472119</v>
      </c>
      <c r="CH25" s="810">
        <v>9.06167211008443</v>
      </c>
      <c r="CI25" s="934">
        <v>10.0294018548875</v>
      </c>
    </row>
    <row r="26" ht="14.25" customHeight="1" spans="1:87" x14ac:dyDescent="0.25">
      <c r="A26" s="8"/>
      <c r="B26" s="8"/>
      <c r="C26" s="8" t="s">
        <v>1075</v>
      </c>
      <c r="D26" s="8"/>
      <c r="E26" s="753">
        <f>AVERAGE(L60:L75)</f>
        <v>28.58681939089028</v>
      </c>
      <c r="F26" s="753">
        <f>AVERAGE(R60:R75)</f>
        <v>26.418544517223772</v>
      </c>
      <c r="G26" s="753">
        <f>AVERAGE(X60:X75)</f>
        <v>13.691273230062675</v>
      </c>
      <c r="H26" s="753">
        <f>AVERAGE(AD60:AD75)</f>
        <v>12.687142154734932</v>
      </c>
      <c r="I26" s="75">
        <v>3</v>
      </c>
      <c r="J26" s="7">
        <v>2010</v>
      </c>
      <c r="K26" s="340" t="s">
        <v>1076</v>
      </c>
      <c r="L26" s="933">
        <v>18.3995474672585</v>
      </c>
      <c r="M26" s="810">
        <v>19.1208059468974</v>
      </c>
      <c r="N26" s="810">
        <v>14.0280724914359</v>
      </c>
      <c r="O26" s="810"/>
      <c r="P26" s="810"/>
      <c r="Q26" s="810">
        <v>18.3541432819426</v>
      </c>
      <c r="R26" s="810">
        <v>15.6186400380409</v>
      </c>
      <c r="S26" s="810">
        <v>16.0188269370022</v>
      </c>
      <c r="T26" s="810">
        <v>22.0312480168075</v>
      </c>
      <c r="U26" s="810"/>
      <c r="V26" s="810"/>
      <c r="W26" s="810">
        <v>25.8973305954825</v>
      </c>
      <c r="X26" s="810">
        <v>7.34704853409669</v>
      </c>
      <c r="Y26" s="810">
        <v>8.33579953373632</v>
      </c>
      <c r="Z26" s="810">
        <v>8.52805139164234</v>
      </c>
      <c r="AA26" s="810"/>
      <c r="AB26" s="810">
        <v>6.07122241932703</v>
      </c>
      <c r="AC26" s="810">
        <v>7.44936908891974</v>
      </c>
      <c r="AD26" s="810">
        <v>6.98656053998991</v>
      </c>
      <c r="AE26" s="810">
        <v>7.39901354931327</v>
      </c>
      <c r="AF26" s="810">
        <v>6.54981071352019</v>
      </c>
      <c r="AG26" s="810"/>
      <c r="AH26" s="810">
        <v>5.93332575248269</v>
      </c>
      <c r="AI26" s="810">
        <v>8.23339207954501</v>
      </c>
      <c r="AJ26" s="8"/>
      <c r="AK26" s="340" t="str">
        <f t="shared" si="11"/>
        <v>4Q10</v>
      </c>
      <c r="AL26" s="933">
        <f t="shared" si="12"/>
        <v>18.3995474672585</v>
      </c>
      <c r="AM26" s="810">
        <v>17.2464929859719</v>
      </c>
      <c r="AN26" s="810">
        <v>14.3943122734266</v>
      </c>
      <c r="AO26" s="810">
        <v>20.172268907563</v>
      </c>
      <c r="AP26" s="810">
        <v>17.740099009901</v>
      </c>
      <c r="AQ26" s="934">
        <v>32.6652892561983</v>
      </c>
      <c r="AR26" s="933">
        <f t="shared" si="13"/>
        <v>15.6186400380409</v>
      </c>
      <c r="AS26" s="810">
        <v>16.4929091605979</v>
      </c>
      <c r="AT26" s="810">
        <v>13.759269084893</v>
      </c>
      <c r="AU26" s="810">
        <v>17.5925247343349</v>
      </c>
      <c r="AV26" s="810">
        <v>17.1009305654975</v>
      </c>
      <c r="AW26" s="934">
        <v>14.9715909090909</v>
      </c>
      <c r="AX26" s="933">
        <f t="shared" si="14"/>
        <v>7.34704853409669</v>
      </c>
      <c r="AY26" s="810">
        <v>8.59690566989158</v>
      </c>
      <c r="AZ26" s="810">
        <v>8.80108366138237</v>
      </c>
      <c r="BA26" s="810">
        <v>11.0940527176738</v>
      </c>
      <c r="BB26" s="810">
        <v>9.85910704093812</v>
      </c>
      <c r="BC26" s="934">
        <v>10.5383628649705</v>
      </c>
      <c r="BD26" s="933">
        <f t="shared" si="20"/>
        <v>6.98656053998991</v>
      </c>
      <c r="BE26" s="810">
        <v>8.74279316866968</v>
      </c>
      <c r="BF26" s="810">
        <v>8.15291865119672</v>
      </c>
      <c r="BG26" s="810">
        <v>9.70235882969312</v>
      </c>
      <c r="BH26" s="810">
        <v>10.2335240724788</v>
      </c>
      <c r="BI26" s="934">
        <v>8.72096085961602</v>
      </c>
      <c r="BJ26" s="8"/>
      <c r="BK26" s="340" t="str">
        <f t="shared" si="15"/>
        <v>4Q10</v>
      </c>
      <c r="BL26" s="933">
        <f t="shared" si="16"/>
        <v>18.3995474672585</v>
      </c>
      <c r="BM26" s="810">
        <v>12.8015564202335</v>
      </c>
      <c r="BN26" s="810">
        <v>13.8237232289951</v>
      </c>
      <c r="BO26" s="810">
        <v>18.0490289468085</v>
      </c>
      <c r="BP26" s="810">
        <v>14.1588726076758</v>
      </c>
      <c r="BQ26" s="934">
        <v>17.7450980392157</v>
      </c>
      <c r="BR26" s="933">
        <f t="shared" si="17"/>
        <v>15.6186400380409</v>
      </c>
      <c r="BS26" s="810">
        <v>12.0160701241782</v>
      </c>
      <c r="BT26" s="810">
        <v>13.4773530356569</v>
      </c>
      <c r="BU26" s="810">
        <v>17.094294418136</v>
      </c>
      <c r="BV26" s="810">
        <v>15.5312723059866</v>
      </c>
      <c r="BW26" s="934">
        <v>17.4038461538462</v>
      </c>
      <c r="BX26" s="933">
        <f t="shared" si="18"/>
        <v>7.34704853409669</v>
      </c>
      <c r="BY26" s="810">
        <v>10.8942187359427</v>
      </c>
      <c r="BZ26" s="810">
        <v>5.79676573417688</v>
      </c>
      <c r="CA26" s="810">
        <v>12.0248697957627</v>
      </c>
      <c r="CB26" s="810">
        <v>10.1625572132205</v>
      </c>
      <c r="CC26" s="934">
        <v>10.1605825557342</v>
      </c>
      <c r="CD26" s="933">
        <f t="shared" si="21"/>
        <v>6.98656053998991</v>
      </c>
      <c r="CE26" s="810">
        <v>10.5973735387781</v>
      </c>
      <c r="CF26" s="810">
        <v>7.73496272319748</v>
      </c>
      <c r="CG26" s="810">
        <v>12.5738819755107</v>
      </c>
      <c r="CH26" s="810">
        <v>8.95566003348914</v>
      </c>
      <c r="CI26" s="934">
        <v>9.88405890122222</v>
      </c>
    </row>
    <row r="27" ht="14.25" customHeight="1" spans="1:87" x14ac:dyDescent="0.25">
      <c r="A27" s="8"/>
      <c r="B27" s="8"/>
      <c r="C27" s="8"/>
      <c r="D27" s="8"/>
      <c r="E27" s="8"/>
      <c r="F27" s="8"/>
      <c r="G27" s="8"/>
      <c r="H27" s="8"/>
      <c r="I27" s="75">
        <v>4</v>
      </c>
      <c r="J27" s="7">
        <v>2010</v>
      </c>
      <c r="K27" s="340" t="s">
        <v>1077</v>
      </c>
      <c r="L27" s="933">
        <v>17.5376630655298</v>
      </c>
      <c r="M27" s="810">
        <v>18.1412990511041</v>
      </c>
      <c r="N27" s="810">
        <v>20.5968811785132</v>
      </c>
      <c r="O27" s="810"/>
      <c r="P27" s="810"/>
      <c r="Q27" s="810">
        <v>20.2929999845735</v>
      </c>
      <c r="R27" s="810">
        <v>15.3201143127621</v>
      </c>
      <c r="S27" s="810">
        <v>15.8407298427196</v>
      </c>
      <c r="T27" s="810">
        <v>20.8809287683322</v>
      </c>
      <c r="U27" s="810"/>
      <c r="V27" s="810"/>
      <c r="W27" s="810">
        <v>27.2987204801876</v>
      </c>
      <c r="X27" s="810">
        <v>7.22851035392524</v>
      </c>
      <c r="Y27" s="810">
        <v>7.99206107738299</v>
      </c>
      <c r="Z27" s="810">
        <v>9.38644117755113</v>
      </c>
      <c r="AA27" s="810"/>
      <c r="AB27" s="810">
        <v>6.29166207268304</v>
      </c>
      <c r="AC27" s="810">
        <v>8.19160568831574</v>
      </c>
      <c r="AD27" s="810">
        <v>6.92875586022227</v>
      </c>
      <c r="AE27" s="810">
        <v>7.47214615679445</v>
      </c>
      <c r="AF27" s="810">
        <v>7.08586478993978</v>
      </c>
      <c r="AG27" s="810"/>
      <c r="AH27" s="810">
        <v>6.70281816751982</v>
      </c>
      <c r="AI27" s="810">
        <v>9.04242605468145</v>
      </c>
      <c r="AJ27" s="8"/>
      <c r="AK27" s="340" t="str">
        <f t="shared" si="11"/>
        <v>1Q11</v>
      </c>
      <c r="AL27" s="933">
        <f t="shared" si="12"/>
        <v>17.5376630655298</v>
      </c>
      <c r="AM27" s="810">
        <v>16.7096188747731</v>
      </c>
      <c r="AN27" s="810">
        <v>13.7703909932735</v>
      </c>
      <c r="AO27" s="810">
        <v>20.952380952381</v>
      </c>
      <c r="AP27" s="810">
        <v>17.744630071599</v>
      </c>
      <c r="AQ27" s="934">
        <v>25.9249561574435</v>
      </c>
      <c r="AR27" s="933">
        <f t="shared" si="13"/>
        <v>15.3201143127621</v>
      </c>
      <c r="AS27" s="810">
        <v>16.7735470941884</v>
      </c>
      <c r="AT27" s="810">
        <v>13.9518273125852</v>
      </c>
      <c r="AU27" s="810">
        <v>20.4492641363284</v>
      </c>
      <c r="AV27" s="810">
        <v>17.7277062470196</v>
      </c>
      <c r="AW27" s="934">
        <v>16.8948412698413</v>
      </c>
      <c r="AX27" s="933">
        <f t="shared" si="14"/>
        <v>7.22851035392524</v>
      </c>
      <c r="AY27" s="810">
        <v>8.72887163490164</v>
      </c>
      <c r="AZ27" s="810">
        <v>8.50140191692857</v>
      </c>
      <c r="BA27" s="810">
        <v>11.1070955202352</v>
      </c>
      <c r="BB27" s="810">
        <v>9.56326177625636</v>
      </c>
      <c r="BC27" s="934">
        <v>9.70015168691678</v>
      </c>
      <c r="BD27" s="933">
        <f t="shared" si="20"/>
        <v>6.92875586022227</v>
      </c>
      <c r="BE27" s="810">
        <v>8.54571044640648</v>
      </c>
      <c r="BF27" s="810">
        <v>7.68553234522558</v>
      </c>
      <c r="BG27" s="810">
        <v>9.42364323846125</v>
      </c>
      <c r="BH27" s="810">
        <v>9.25498225269748</v>
      </c>
      <c r="BI27" s="934">
        <v>7.89259181500183</v>
      </c>
      <c r="BJ27" s="8"/>
      <c r="BK27" s="340" t="str">
        <f t="shared" si="15"/>
        <v>1Q11</v>
      </c>
      <c r="BL27" s="933">
        <f t="shared" si="16"/>
        <v>17.5376630655298</v>
      </c>
      <c r="BM27" s="810">
        <v>11.6596958174905</v>
      </c>
      <c r="BN27" s="810">
        <v>14.9481132075472</v>
      </c>
      <c r="BO27" s="810">
        <v>19.0256194648936</v>
      </c>
      <c r="BP27" s="810">
        <v>15.3269004439344</v>
      </c>
      <c r="BQ27" s="934">
        <v>16.8064516129032</v>
      </c>
      <c r="BR27" s="933">
        <f t="shared" si="17"/>
        <v>15.3201143127621</v>
      </c>
      <c r="BS27" s="810">
        <v>11.755798351543</v>
      </c>
      <c r="BT27" s="810">
        <v>15.0474833808167</v>
      </c>
      <c r="BU27" s="810">
        <v>18.0647295929293</v>
      </c>
      <c r="BV27" s="810">
        <v>17.1042852452168</v>
      </c>
      <c r="BW27" s="934">
        <v>17.0215083038388</v>
      </c>
      <c r="BX27" s="933">
        <f t="shared" si="18"/>
        <v>7.22851035392524</v>
      </c>
      <c r="BY27" s="810">
        <v>10.2197271127802</v>
      </c>
      <c r="BZ27" s="810">
        <v>6.28424395129667</v>
      </c>
      <c r="CA27" s="810">
        <v>12.6356232363168</v>
      </c>
      <c r="CB27" s="810">
        <v>10.57792595541</v>
      </c>
      <c r="CC27" s="934">
        <v>9.67175051875175</v>
      </c>
      <c r="CD27" s="933">
        <f t="shared" si="21"/>
        <v>6.92875586022227</v>
      </c>
      <c r="CE27" s="810">
        <v>10.0449453713049</v>
      </c>
      <c r="CF27" s="810">
        <v>9.23733240057122</v>
      </c>
      <c r="CG27" s="810">
        <v>10.897307886223</v>
      </c>
      <c r="CH27" s="810">
        <v>8.8081389308222</v>
      </c>
      <c r="CI27" s="934">
        <v>8.94642283185287</v>
      </c>
    </row>
    <row r="28" ht="14.25" customHeight="1" spans="1:87" x14ac:dyDescent="0.25">
      <c r="A28" s="257" t="s">
        <v>3</v>
      </c>
      <c r="B28" s="8"/>
      <c r="C28" s="893" t="str">
        <f>Comparables!S88</f>
        <v>Primary Peer Group</v>
      </c>
      <c r="D28" s="101"/>
      <c r="E28" s="101"/>
      <c r="F28" s="101"/>
      <c r="G28" s="101"/>
      <c r="H28" s="102"/>
      <c r="I28" s="75">
        <v>1</v>
      </c>
      <c r="J28" s="7">
        <v>2011</v>
      </c>
      <c r="K28" s="340" t="s">
        <v>1078</v>
      </c>
      <c r="L28" s="933">
        <v>19.3041374679855</v>
      </c>
      <c r="M28" s="810">
        <v>18.0223134325471</v>
      </c>
      <c r="N28" s="810">
        <v>15.0537050719114</v>
      </c>
      <c r="O28" s="810"/>
      <c r="P28" s="810"/>
      <c r="Q28" s="810">
        <v>19.6726546480243</v>
      </c>
      <c r="R28" s="810">
        <v>15.3385324534803</v>
      </c>
      <c r="S28" s="810">
        <v>15.4718281042266</v>
      </c>
      <c r="T28" s="810">
        <v>20.0221401917374</v>
      </c>
      <c r="U28" s="810"/>
      <c r="V28" s="810"/>
      <c r="W28" s="810">
        <v>26.6755879407658</v>
      </c>
      <c r="X28" s="810">
        <v>7.38074034887302</v>
      </c>
      <c r="Y28" s="810">
        <v>7.99108706015298</v>
      </c>
      <c r="Z28" s="810">
        <v>8.92424294660237</v>
      </c>
      <c r="AA28" s="810"/>
      <c r="AB28" s="810">
        <v>6.08311293865168</v>
      </c>
      <c r="AC28" s="810">
        <v>8.2089879880135</v>
      </c>
      <c r="AD28" s="810">
        <v>6.98372036371006</v>
      </c>
      <c r="AE28" s="810">
        <v>7.30596118791808</v>
      </c>
      <c r="AF28" s="810">
        <v>6.83734179770212</v>
      </c>
      <c r="AG28" s="810"/>
      <c r="AH28" s="810">
        <v>5.91969384462547</v>
      </c>
      <c r="AI28" s="810">
        <v>8.66917421333157</v>
      </c>
      <c r="AJ28" s="8"/>
      <c r="AK28" s="340" t="str">
        <f t="shared" si="11"/>
        <v>2Q11</v>
      </c>
      <c r="AL28" s="933">
        <f t="shared" si="12"/>
        <v>19.3041374679855</v>
      </c>
      <c r="AM28" s="810">
        <v>17.2021276595745</v>
      </c>
      <c r="AN28" s="810">
        <v>14.7979656567033</v>
      </c>
      <c r="AO28" s="810">
        <v>19.7962264150943</v>
      </c>
      <c r="AP28" s="810">
        <v>17.7262180974478</v>
      </c>
      <c r="AQ28" s="934">
        <v>28.010522213562</v>
      </c>
      <c r="AR28" s="933">
        <f t="shared" si="13"/>
        <v>15.3385324534803</v>
      </c>
      <c r="AS28" s="810">
        <v>16.0257680872151</v>
      </c>
      <c r="AT28" s="810">
        <v>13.4769302918335</v>
      </c>
      <c r="AU28" s="810">
        <v>17.2395662175485</v>
      </c>
      <c r="AV28" s="810">
        <v>16.1147437249525</v>
      </c>
      <c r="AW28" s="934">
        <v>16.7272727272727</v>
      </c>
      <c r="AX28" s="933">
        <f t="shared" si="14"/>
        <v>7.38074034887302</v>
      </c>
      <c r="AY28" s="810">
        <v>8.85900261785775</v>
      </c>
      <c r="AZ28" s="810">
        <v>9.35236565763727</v>
      </c>
      <c r="BA28" s="810">
        <v>11.0643323413605</v>
      </c>
      <c r="BB28" s="810">
        <v>9.54752528769943</v>
      </c>
      <c r="BC28" s="934">
        <v>10.4468358443576</v>
      </c>
      <c r="BD28" s="933">
        <f t="shared" si="20"/>
        <v>6.98372036371006</v>
      </c>
      <c r="BE28" s="810">
        <v>8.4865906345287</v>
      </c>
      <c r="BF28" s="810">
        <v>8.5156768142428</v>
      </c>
      <c r="BG28" s="810">
        <v>9.73644673364436</v>
      </c>
      <c r="BH28" s="810">
        <v>9.64438372190624</v>
      </c>
      <c r="BI28" s="934">
        <v>8.80910495908152</v>
      </c>
      <c r="BJ28" s="8"/>
      <c r="BK28" s="340" t="str">
        <f t="shared" si="15"/>
        <v>2Q11</v>
      </c>
      <c r="BL28" s="933">
        <f t="shared" si="16"/>
        <v>19.3041374679855</v>
      </c>
      <c r="BM28" s="810">
        <v>12.6710775047259</v>
      </c>
      <c r="BN28" s="810">
        <v>16.8173374613003</v>
      </c>
      <c r="BO28" s="810">
        <v>17.1665906585859</v>
      </c>
      <c r="BP28" s="810">
        <v>14.5678512444358</v>
      </c>
      <c r="BQ28" s="934">
        <v>16.8831168831169</v>
      </c>
      <c r="BR28" s="933">
        <f t="shared" si="17"/>
        <v>15.3385324534803</v>
      </c>
      <c r="BS28" s="810">
        <v>12.2855571847507</v>
      </c>
      <c r="BT28" s="810">
        <v>16.5710799267846</v>
      </c>
      <c r="BU28" s="810">
        <v>15.3245489197475</v>
      </c>
      <c r="BV28" s="810">
        <v>14.7590818733598</v>
      </c>
      <c r="BW28" s="934">
        <v>15.6400384985563</v>
      </c>
      <c r="BX28" s="933">
        <f t="shared" si="18"/>
        <v>7.38074034887302</v>
      </c>
      <c r="BY28" s="810">
        <v>10.8467594071463</v>
      </c>
      <c r="BZ28" s="810">
        <v>7.36376070979415</v>
      </c>
      <c r="CA28" s="810">
        <v>11.4163523058198</v>
      </c>
      <c r="CB28" s="810">
        <v>10.2260901018242</v>
      </c>
      <c r="CC28" s="934">
        <v>9.68686175304303</v>
      </c>
      <c r="CD28" s="933">
        <f t="shared" si="21"/>
        <v>6.98372036371006</v>
      </c>
      <c r="CE28" s="810">
        <v>11.3120660096171</v>
      </c>
      <c r="CF28" s="810">
        <v>9.96573481753223</v>
      </c>
      <c r="CG28" s="810">
        <v>10.2594851844776</v>
      </c>
      <c r="CH28" s="810">
        <v>8.86152326463816</v>
      </c>
      <c r="CI28" s="934">
        <v>9.1640965083525</v>
      </c>
    </row>
    <row r="29" ht="14.25" customHeight="1" spans="1:87" x14ac:dyDescent="0.25">
      <c r="A29" s="8"/>
      <c r="B29" s="8"/>
      <c r="C29" s="932" t="s">
        <v>1044</v>
      </c>
      <c r="D29" s="932"/>
      <c r="E29" s="932"/>
      <c r="F29" s="932"/>
      <c r="G29" s="932"/>
      <c r="H29" s="932"/>
      <c r="I29" s="75">
        <v>2</v>
      </c>
      <c r="J29" s="7">
        <v>2011</v>
      </c>
      <c r="K29" s="340" t="s">
        <v>1079</v>
      </c>
      <c r="L29" s="933">
        <v>16.8820339301207</v>
      </c>
      <c r="M29" s="810">
        <v>15.8212471185505</v>
      </c>
      <c r="N29" s="810">
        <v>13.1099014562177</v>
      </c>
      <c r="O29" s="810"/>
      <c r="P29" s="810"/>
      <c r="Q29" s="810">
        <v>23.6177189058689</v>
      </c>
      <c r="R29" s="810">
        <v>13.6417688055725</v>
      </c>
      <c r="S29" s="810">
        <v>13.8018925588276</v>
      </c>
      <c r="T29" s="810">
        <v>16.5175046443961</v>
      </c>
      <c r="U29" s="810"/>
      <c r="V29" s="810"/>
      <c r="W29" s="810">
        <v>22.5767682999931</v>
      </c>
      <c r="X29" s="810">
        <v>7.01648763468138</v>
      </c>
      <c r="Y29" s="810">
        <v>7.42476894641344</v>
      </c>
      <c r="Z29" s="810">
        <v>7.94386796476779</v>
      </c>
      <c r="AA29" s="810"/>
      <c r="AB29" s="810">
        <v>5.89002842316674</v>
      </c>
      <c r="AC29" s="810">
        <v>9.06781300484542</v>
      </c>
      <c r="AD29" s="810">
        <v>6.62599892390748</v>
      </c>
      <c r="AE29" s="810">
        <v>6.82159093961328</v>
      </c>
      <c r="AF29" s="810">
        <v>6.23609578265932</v>
      </c>
      <c r="AG29" s="810"/>
      <c r="AH29" s="810">
        <v>5.43188699603987</v>
      </c>
      <c r="AI29" s="810">
        <v>7.83345104990034</v>
      </c>
      <c r="AJ29" s="8"/>
      <c r="AK29" s="340" t="str">
        <f t="shared" si="11"/>
        <v>3Q11</v>
      </c>
      <c r="AL29" s="933">
        <f t="shared" si="12"/>
        <v>16.8820339301207</v>
      </c>
      <c r="AM29" s="810">
        <v>15.4058919803601</v>
      </c>
      <c r="AN29" s="810">
        <v>14.8719880153684</v>
      </c>
      <c r="AO29" s="810">
        <v>18.7770034843206</v>
      </c>
      <c r="AP29" s="810">
        <v>17.1912087912088</v>
      </c>
      <c r="AQ29" s="934">
        <v>17.9026098026735</v>
      </c>
      <c r="AR29" s="933">
        <f t="shared" si="13"/>
        <v>13.6417688055725</v>
      </c>
      <c r="AS29" s="810">
        <v>14.8329656476521</v>
      </c>
      <c r="AT29" s="810">
        <v>14.1680591803049</v>
      </c>
      <c r="AU29" s="810">
        <v>17.6168682576005</v>
      </c>
      <c r="AV29" s="810">
        <v>16.4052013422819</v>
      </c>
      <c r="AW29" s="934">
        <v>14.8897058823529</v>
      </c>
      <c r="AX29" s="933">
        <f t="shared" si="14"/>
        <v>7.01648763468138</v>
      </c>
      <c r="AY29" s="810">
        <v>8.01288639099495</v>
      </c>
      <c r="AZ29" s="810">
        <v>9.59164296154905</v>
      </c>
      <c r="BA29" s="810">
        <v>9.68836800040644</v>
      </c>
      <c r="BB29" s="810">
        <v>9.56951054364888</v>
      </c>
      <c r="BC29" s="934">
        <v>8.3114767326934</v>
      </c>
      <c r="BD29" s="933">
        <f t="shared" si="20"/>
        <v>6.62599892390748</v>
      </c>
      <c r="BE29" s="810">
        <v>7.97273141350249</v>
      </c>
      <c r="BF29" s="810">
        <v>8.61574057333204</v>
      </c>
      <c r="BG29" s="810">
        <v>9.10850981783904</v>
      </c>
      <c r="BH29" s="810">
        <v>9.66151145850426</v>
      </c>
      <c r="BI29" s="934">
        <v>7.72762338743707</v>
      </c>
      <c r="BJ29" s="8"/>
      <c r="BK29" s="340" t="str">
        <f t="shared" si="15"/>
        <v>3Q11</v>
      </c>
      <c r="BL29" s="933">
        <f t="shared" si="16"/>
        <v>16.8820339301207</v>
      </c>
      <c r="BM29" s="810">
        <v>15.6287425149701</v>
      </c>
      <c r="BN29" s="810">
        <v>17.7298091042584</v>
      </c>
      <c r="BO29" s="810">
        <v>17.8624774718447</v>
      </c>
      <c r="BP29" s="810">
        <v>16.9552839086532</v>
      </c>
      <c r="BQ29" s="934">
        <v>17.6882793017456</v>
      </c>
      <c r="BR29" s="933">
        <f t="shared" si="17"/>
        <v>13.6417688055725</v>
      </c>
      <c r="BS29" s="810">
        <v>13.9896373056995</v>
      </c>
      <c r="BT29" s="810">
        <v>17.3427176098822</v>
      </c>
      <c r="BU29" s="810">
        <v>16.6350377902351</v>
      </c>
      <c r="BV29" s="810">
        <v>17.3787535359534</v>
      </c>
      <c r="BW29" s="934">
        <v>16.9770224988033</v>
      </c>
      <c r="BX29" s="933">
        <f t="shared" si="18"/>
        <v>7.01648763468138</v>
      </c>
      <c r="BY29" s="810">
        <v>8.73674862448364</v>
      </c>
      <c r="BZ29" s="810">
        <v>7.507600302718</v>
      </c>
      <c r="CA29" s="810">
        <v>12.0946544433192</v>
      </c>
      <c r="CB29" s="810">
        <v>11.9712771283663</v>
      </c>
      <c r="CC29" s="934">
        <v>6.79728445867446</v>
      </c>
      <c r="CD29" s="933">
        <f t="shared" si="21"/>
        <v>6.62599892390748</v>
      </c>
      <c r="CE29" s="810">
        <v>8.18113448420725</v>
      </c>
      <c r="CF29" s="810">
        <v>10.2162420953171</v>
      </c>
      <c r="CG29" s="810">
        <v>10.9766502375101</v>
      </c>
      <c r="CH29" s="810">
        <v>10.6271859083267</v>
      </c>
      <c r="CI29" s="934">
        <v>9.68541593941421</v>
      </c>
    </row>
    <row r="30" ht="14.25" customHeight="1" spans="1:87" x14ac:dyDescent="0.25">
      <c r="A30" s="8"/>
      <c r="B30" s="8"/>
      <c r="C30" s="75"/>
      <c r="D30" s="8"/>
      <c r="E30" s="75" t="s">
        <v>1039</v>
      </c>
      <c r="F30" s="75" t="s">
        <v>1040</v>
      </c>
      <c r="G30" s="75" t="s">
        <v>1041</v>
      </c>
      <c r="H30" s="75" t="s">
        <v>1042</v>
      </c>
      <c r="I30" s="75">
        <v>3</v>
      </c>
      <c r="J30" s="7">
        <v>2011</v>
      </c>
      <c r="K30" s="340" t="s">
        <v>1080</v>
      </c>
      <c r="L30" s="933">
        <v>14.9402822547408</v>
      </c>
      <c r="M30" s="810">
        <v>15.0927481905774</v>
      </c>
      <c r="N30" s="810">
        <v>13.5043483244923</v>
      </c>
      <c r="O30" s="810"/>
      <c r="P30" s="810"/>
      <c r="Q30" s="810">
        <v>29.7485123409881</v>
      </c>
      <c r="R30" s="810">
        <v>13.5714285714286</v>
      </c>
      <c r="S30" s="810">
        <v>14.1157316594743</v>
      </c>
      <c r="T30" s="810">
        <v>16.2481478278866</v>
      </c>
      <c r="U30" s="810"/>
      <c r="V30" s="810"/>
      <c r="W30" s="810">
        <v>25.5772575250836</v>
      </c>
      <c r="X30" s="810">
        <v>6.82342485137072</v>
      </c>
      <c r="Y30" s="810">
        <v>7.53593229526937</v>
      </c>
      <c r="Z30" s="810">
        <v>7.35926324437063</v>
      </c>
      <c r="AA30" s="810"/>
      <c r="AB30" s="810">
        <v>6.32952128166357</v>
      </c>
      <c r="AC30" s="810">
        <v>11.3484889834464</v>
      </c>
      <c r="AD30" s="810">
        <v>6.68161448627195</v>
      </c>
      <c r="AE30" s="810">
        <v>7.06480194890531</v>
      </c>
      <c r="AF30" s="810">
        <v>6.20007465591922</v>
      </c>
      <c r="AG30" s="810"/>
      <c r="AH30" s="810">
        <v>5.77199467652298</v>
      </c>
      <c r="AI30" s="810">
        <v>9.13224407797398</v>
      </c>
      <c r="AJ30" s="8"/>
      <c r="AK30" s="340" t="str">
        <f t="shared" si="11"/>
        <v>4Q11</v>
      </c>
      <c r="AL30" s="933">
        <f t="shared" si="12"/>
        <v>14.9402822547408</v>
      </c>
      <c r="AM30" s="810">
        <v>16.4130105900151</v>
      </c>
      <c r="AN30" s="810">
        <v>13.929109488189</v>
      </c>
      <c r="AO30" s="810">
        <v>20.4551282051282</v>
      </c>
      <c r="AP30" s="810">
        <v>17.5613305613306</v>
      </c>
      <c r="AQ30" s="934">
        <v>21.8146615743688</v>
      </c>
      <c r="AR30" s="933">
        <f t="shared" si="13"/>
        <v>13.5714285714286</v>
      </c>
      <c r="AS30" s="810">
        <v>15.7872526193248</v>
      </c>
      <c r="AT30" s="810">
        <v>14.0257435480674</v>
      </c>
      <c r="AU30" s="810">
        <v>19.7523986381925</v>
      </c>
      <c r="AV30" s="810">
        <v>17.106115836371</v>
      </c>
      <c r="AW30" s="934">
        <v>16.9006849315069</v>
      </c>
      <c r="AX30" s="933">
        <f t="shared" si="14"/>
        <v>6.82342485137072</v>
      </c>
      <c r="AY30" s="810">
        <v>8.58424870725069</v>
      </c>
      <c r="AZ30" s="810">
        <v>8.44273757619393</v>
      </c>
      <c r="BA30" s="810">
        <v>11.1349827480621</v>
      </c>
      <c r="BB30" s="810">
        <v>10.4017651747751</v>
      </c>
      <c r="BC30" s="934">
        <v>10.7651705951063</v>
      </c>
      <c r="BD30" s="933">
        <f t="shared" si="20"/>
        <v>6.68161448627195</v>
      </c>
      <c r="BE30" s="810">
        <v>8.56723621121493</v>
      </c>
      <c r="BF30" s="810">
        <v>8.46114657038452</v>
      </c>
      <c r="BG30" s="810">
        <v>10.5056506409749</v>
      </c>
      <c r="BH30" s="810">
        <v>10.058965891206</v>
      </c>
      <c r="BI30" s="934">
        <v>9.44569181856999</v>
      </c>
      <c r="BJ30" s="8"/>
      <c r="BK30" s="340" t="str">
        <f t="shared" si="15"/>
        <v>4Q11</v>
      </c>
      <c r="BL30" s="933">
        <f t="shared" si="16"/>
        <v>14.9402822547408</v>
      </c>
      <c r="BM30" s="810">
        <v>15.111753371869</v>
      </c>
      <c r="BN30" s="810">
        <v>20.2482946793997</v>
      </c>
      <c r="BO30" s="810">
        <v>18.4239851666667</v>
      </c>
      <c r="BP30" s="810">
        <v>17.1044063218137</v>
      </c>
      <c r="BQ30" s="934">
        <v>19.2997601918465</v>
      </c>
      <c r="BR30" s="933">
        <f t="shared" si="17"/>
        <v>13.5714285714286</v>
      </c>
      <c r="BS30" s="810">
        <v>14.5213849287169</v>
      </c>
      <c r="BT30" s="810">
        <v>19.4114569709652</v>
      </c>
      <c r="BU30" s="810">
        <v>18.0479854693878</v>
      </c>
      <c r="BV30" s="810">
        <v>18.0075015665405</v>
      </c>
      <c r="BW30" s="934">
        <v>19.012520670919</v>
      </c>
      <c r="BX30" s="933">
        <f t="shared" si="18"/>
        <v>6.82342485137072</v>
      </c>
      <c r="BY30" s="810">
        <v>8.29237002443662</v>
      </c>
      <c r="BZ30" s="810">
        <v>8.90934420426463</v>
      </c>
      <c r="CA30" s="810">
        <v>12.5523640844115</v>
      </c>
      <c r="CB30" s="810">
        <v>11.7121590153251</v>
      </c>
      <c r="CC30" s="934">
        <v>7.52760370412584</v>
      </c>
      <c r="CD30" s="933">
        <f t="shared" si="21"/>
        <v>6.68161448627195</v>
      </c>
      <c r="CE30" s="810">
        <v>8.15426847974502</v>
      </c>
      <c r="CF30" s="810">
        <v>10.7704744434713</v>
      </c>
      <c r="CG30" s="810">
        <v>12.3639389901145</v>
      </c>
      <c r="CH30" s="810">
        <v>10.6466484541989</v>
      </c>
      <c r="CI30" s="934">
        <v>10.8118977956183</v>
      </c>
    </row>
    <row r="31" ht="14.25" customHeight="1" spans="1:87" x14ac:dyDescent="0.25">
      <c r="A31" s="8"/>
      <c r="B31" s="8"/>
      <c r="C31" s="8" t="s">
        <v>988</v>
      </c>
      <c r="D31" s="8"/>
      <c r="E31" s="753">
        <f>AVERAGE(M81:Q87)</f>
        <v>226.51659506721987</v>
      </c>
      <c r="F31" s="753">
        <f>AVERAGE(S81:W87)</f>
        <v>47.86998939140844</v>
      </c>
      <c r="G31" s="753">
        <f>AVERAGE(Y81:AC87)</f>
        <v>16.543208331816924</v>
      </c>
      <c r="H31" s="753">
        <f>AVERAGE(AE81:AI87)</f>
        <v>14.901853050098833</v>
      </c>
      <c r="I31" s="75">
        <v>4</v>
      </c>
      <c r="J31" s="7">
        <v>2011</v>
      </c>
      <c r="K31" s="340" t="s">
        <v>1081</v>
      </c>
      <c r="L31" s="933">
        <v>15.6328170479553</v>
      </c>
      <c r="M31" s="810">
        <v>16.357139615392</v>
      </c>
      <c r="N31" s="810">
        <v>14.7410304920558</v>
      </c>
      <c r="O31" s="810"/>
      <c r="P31" s="810"/>
      <c r="Q31" s="810">
        <v>27.3512953578356</v>
      </c>
      <c r="R31" s="810">
        <v>14.7987417929722</v>
      </c>
      <c r="S31" s="810">
        <v>15.2032904663393</v>
      </c>
      <c r="T31" s="810">
        <v>18.0340332018252</v>
      </c>
      <c r="U31" s="810"/>
      <c r="V31" s="810"/>
      <c r="W31" s="810">
        <v>25.0686283714915</v>
      </c>
      <c r="X31" s="810">
        <v>7.25986598568499</v>
      </c>
      <c r="Y31" s="810">
        <v>7.91021844493566</v>
      </c>
      <c r="Z31" s="810">
        <v>7.63623233148616</v>
      </c>
      <c r="AA31" s="810"/>
      <c r="AB31" s="810">
        <v>6.42159232456409</v>
      </c>
      <c r="AC31" s="810">
        <v>11.0323107089836</v>
      </c>
      <c r="AD31" s="810">
        <v>7.10423931934303</v>
      </c>
      <c r="AE31" s="810">
        <v>7.44922942467548</v>
      </c>
      <c r="AF31" s="810">
        <v>6.78883599476337</v>
      </c>
      <c r="AG31" s="810"/>
      <c r="AH31" s="810">
        <v>5.96492375722818</v>
      </c>
      <c r="AI31" s="810">
        <v>9.08138382104853</v>
      </c>
      <c r="AJ31" s="8"/>
      <c r="AK31" s="340" t="str">
        <f t="shared" si="11"/>
        <v>1Q12</v>
      </c>
      <c r="AL31" s="933">
        <f t="shared" si="12"/>
        <v>15.6328170479553</v>
      </c>
      <c r="AM31" s="810">
        <v>15.3440233236152</v>
      </c>
      <c r="AN31" s="810">
        <v>13.7193211646154</v>
      </c>
      <c r="AO31" s="810">
        <v>18.2831325301205</v>
      </c>
      <c r="AP31" s="810">
        <v>17.4490196078431</v>
      </c>
      <c r="AQ31" s="934">
        <v>19.1538461538462</v>
      </c>
      <c r="AR31" s="933">
        <f t="shared" si="13"/>
        <v>14.7987417929722</v>
      </c>
      <c r="AS31" s="810">
        <v>15.1956113757759</v>
      </c>
      <c r="AT31" s="810">
        <v>13.8983966600429</v>
      </c>
      <c r="AU31" s="810">
        <v>18.6941792423776</v>
      </c>
      <c r="AV31" s="810">
        <v>17.5315208825847</v>
      </c>
      <c r="AW31" s="934">
        <v>16.8243243243243</v>
      </c>
      <c r="AX31" s="933">
        <f t="shared" si="14"/>
        <v>7.25986598568499</v>
      </c>
      <c r="AY31" s="810">
        <v>8.24111235821925</v>
      </c>
      <c r="AZ31" s="810">
        <v>8.02423787510952</v>
      </c>
      <c r="BA31" s="810">
        <v>9.96072924776507</v>
      </c>
      <c r="BB31" s="810">
        <v>10.0980469559544</v>
      </c>
      <c r="BC31" s="934">
        <v>9.3325299750434</v>
      </c>
      <c r="BD31" s="933">
        <f t="shared" si="20"/>
        <v>7.10423931934303</v>
      </c>
      <c r="BE31" s="810">
        <v>7.97389754145216</v>
      </c>
      <c r="BF31" s="810">
        <v>7.72976976739138</v>
      </c>
      <c r="BG31" s="810">
        <v>8.71093614698981</v>
      </c>
      <c r="BH31" s="810">
        <v>9.15086981964502</v>
      </c>
      <c r="BI31" s="934">
        <v>8.56753479334558</v>
      </c>
      <c r="BJ31" s="8"/>
      <c r="BK31" s="340" t="str">
        <f t="shared" si="15"/>
        <v>1Q12</v>
      </c>
      <c r="BL31" s="933">
        <f t="shared" si="16"/>
        <v>15.6328170479553</v>
      </c>
      <c r="BM31" s="810">
        <v>13.512104283054</v>
      </c>
      <c r="BN31" s="810">
        <v>23.250936329588</v>
      </c>
      <c r="BO31" s="810">
        <v>15.7670749548673</v>
      </c>
      <c r="BP31" s="810">
        <v>16.1919309510472</v>
      </c>
      <c r="BQ31" s="934">
        <v>17.4748858447489</v>
      </c>
      <c r="BR31" s="933">
        <f t="shared" si="17"/>
        <v>14.7987417929722</v>
      </c>
      <c r="BS31" s="810">
        <v>13.4869888475836</v>
      </c>
      <c r="BT31" s="810">
        <v>18.594249201278</v>
      </c>
      <c r="BU31" s="810">
        <v>16.1676902894737</v>
      </c>
      <c r="BV31" s="810">
        <v>18.6433810568673</v>
      </c>
      <c r="BW31" s="934">
        <v>17.9967082059723</v>
      </c>
      <c r="BX31" s="933">
        <f t="shared" si="18"/>
        <v>7.25986598568499</v>
      </c>
      <c r="BY31" s="810">
        <v>7.33406986274049</v>
      </c>
      <c r="BZ31" s="810">
        <v>10.3981517643782</v>
      </c>
      <c r="CA31" s="810">
        <v>10.9312546610151</v>
      </c>
      <c r="CB31" s="810">
        <v>11.3586064014464</v>
      </c>
      <c r="CC31" s="934">
        <v>6.90251803024707</v>
      </c>
      <c r="CD31" s="933">
        <f t="shared" si="21"/>
        <v>7.10423931934303</v>
      </c>
      <c r="CE31" s="810">
        <v>7.15781064029143</v>
      </c>
      <c r="CF31" s="810">
        <v>11.0079026660542</v>
      </c>
      <c r="CG31" s="810">
        <v>9.6792214411202</v>
      </c>
      <c r="CH31" s="810">
        <v>9.8381757631917</v>
      </c>
      <c r="CI31" s="934">
        <v>9.27720073675327</v>
      </c>
    </row>
    <row r="32" ht="14.25" customHeight="1" spans="1:87" x14ac:dyDescent="0.25">
      <c r="A32" s="8"/>
      <c r="B32" s="8"/>
      <c r="C32" s="8" t="s">
        <v>985</v>
      </c>
      <c r="D32" s="8"/>
      <c r="E32" s="753">
        <f>AVERAGE(M77:Q87)</f>
        <v>165.00685721029643</v>
      </c>
      <c r="F32" s="753">
        <f>AVERAGE(S77:W87)</f>
        <v>45.517150681141054</v>
      </c>
      <c r="G32" s="753">
        <f>AVERAGE(Y77:AC87)</f>
        <v>16.486996040520737</v>
      </c>
      <c r="H32" s="753">
        <f>AVERAGE(AE77:AI87)</f>
        <v>14.615080444219608</v>
      </c>
      <c r="I32" s="75">
        <v>1</v>
      </c>
      <c r="J32" s="7">
        <v>2012</v>
      </c>
      <c r="K32" s="340" t="s">
        <v>1082</v>
      </c>
      <c r="L32" s="933">
        <v>17.2273027356644</v>
      </c>
      <c r="M32" s="810">
        <v>16.1303019312414</v>
      </c>
      <c r="N32" s="810">
        <v>12.7971701528695</v>
      </c>
      <c r="O32" s="810"/>
      <c r="P32" s="810"/>
      <c r="Q32" s="810">
        <v>21.0265871542162</v>
      </c>
      <c r="R32" s="810">
        <v>13.2960370837111</v>
      </c>
      <c r="S32" s="810">
        <v>14.2292808822784</v>
      </c>
      <c r="T32" s="810">
        <v>15.8356555313536</v>
      </c>
      <c r="U32" s="810"/>
      <c r="V32" s="810"/>
      <c r="W32" s="810">
        <v>20.3010409217233</v>
      </c>
      <c r="X32" s="810">
        <v>6.76621461446026</v>
      </c>
      <c r="Y32" s="810">
        <v>7.80226025106131</v>
      </c>
      <c r="Z32" s="810">
        <v>6.2100973030807</v>
      </c>
      <c r="AA32" s="810"/>
      <c r="AB32" s="810">
        <v>6.21760488471668</v>
      </c>
      <c r="AC32" s="810">
        <v>8.60039699523049</v>
      </c>
      <c r="AD32" s="810">
        <v>6.68384058409692</v>
      </c>
      <c r="AE32" s="810">
        <v>7.18344151516314</v>
      </c>
      <c r="AF32" s="810">
        <v>5.62408907053368</v>
      </c>
      <c r="AG32" s="810"/>
      <c r="AH32" s="810">
        <v>5.99838880967869</v>
      </c>
      <c r="AI32" s="810">
        <v>7.52886882008339</v>
      </c>
      <c r="AJ32" s="8"/>
      <c r="AK32" s="340" t="str">
        <f t="shared" si="11"/>
        <v>2Q12</v>
      </c>
      <c r="AL32" s="933">
        <f t="shared" si="12"/>
        <v>17.2273027356644</v>
      </c>
      <c r="AM32" s="810">
        <v>13.7916666666667</v>
      </c>
      <c r="AN32" s="810">
        <v>14.4646541801229</v>
      </c>
      <c r="AO32" s="810">
        <v>18.2514124293785</v>
      </c>
      <c r="AP32" s="810">
        <v>15.297247706422</v>
      </c>
      <c r="AQ32" s="934">
        <v>18.6634615384615</v>
      </c>
      <c r="AR32" s="933">
        <f t="shared" si="13"/>
        <v>13.2960370837111</v>
      </c>
      <c r="AS32" s="810">
        <v>13.4771986970684</v>
      </c>
      <c r="AT32" s="810">
        <v>12.3404741956294</v>
      </c>
      <c r="AU32" s="810">
        <v>16.664947124065</v>
      </c>
      <c r="AV32" s="810">
        <v>14.4890510948905</v>
      </c>
      <c r="AW32" s="934">
        <v>13.7855113636364</v>
      </c>
      <c r="AX32" s="933">
        <f t="shared" si="14"/>
        <v>6.76621461446026</v>
      </c>
      <c r="AY32" s="810">
        <v>7.5082358060283</v>
      </c>
      <c r="AZ32" s="810">
        <v>8.52486044129458</v>
      </c>
      <c r="BA32" s="810">
        <v>10.3114736638174</v>
      </c>
      <c r="BB32" s="810">
        <v>8.98015145446268</v>
      </c>
      <c r="BC32" s="934">
        <v>9.08579678005642</v>
      </c>
      <c r="BD32" s="933">
        <f t="shared" si="20"/>
        <v>6.68384058409692</v>
      </c>
      <c r="BE32" s="810">
        <v>7.44225321565274</v>
      </c>
      <c r="BF32" s="810">
        <v>7.58233332727495</v>
      </c>
      <c r="BG32" s="810">
        <v>9.37739082369275</v>
      </c>
      <c r="BH32" s="810">
        <v>8.58421079389026</v>
      </c>
      <c r="BI32" s="934">
        <v>8.06478592151889</v>
      </c>
      <c r="BJ32" s="8"/>
      <c r="BK32" s="340" t="str">
        <f t="shared" si="15"/>
        <v>2Q12</v>
      </c>
      <c r="BL32" s="933">
        <f t="shared" si="16"/>
        <v>17.2273027356644</v>
      </c>
      <c r="BM32" s="810">
        <v>14.005366726297</v>
      </c>
      <c r="BN32" s="810">
        <v>18.6419466975666</v>
      </c>
      <c r="BO32" s="810">
        <v>16.0251866279279</v>
      </c>
      <c r="BP32" s="810">
        <v>14.024015011101</v>
      </c>
      <c r="BQ32" s="934">
        <v>15.15859030837</v>
      </c>
      <c r="BR32" s="933">
        <f t="shared" si="17"/>
        <v>13.2960370837111</v>
      </c>
      <c r="BS32" s="810">
        <v>13.1403155421282</v>
      </c>
      <c r="BT32" s="810">
        <v>15.4811393379523</v>
      </c>
      <c r="BU32" s="810">
        <v>14.6523535065898</v>
      </c>
      <c r="BV32" s="810">
        <v>14.2851003969459</v>
      </c>
      <c r="BW32" s="934">
        <v>14.1546688605512</v>
      </c>
      <c r="BX32" s="933">
        <f t="shared" si="18"/>
        <v>6.76621461446026</v>
      </c>
      <c r="BY32" s="810">
        <v>7.58359118671717</v>
      </c>
      <c r="BZ32" s="810">
        <v>8.82653249435534</v>
      </c>
      <c r="CA32" s="810">
        <v>10.8670026348689</v>
      </c>
      <c r="CB32" s="810">
        <v>10.0792752371108</v>
      </c>
      <c r="CC32" s="934">
        <v>6.17659738967299</v>
      </c>
      <c r="CD32" s="933">
        <f t="shared" si="21"/>
        <v>6.68384058409692</v>
      </c>
      <c r="CE32" s="810">
        <v>7.96814530662271</v>
      </c>
      <c r="CF32" s="810">
        <v>9.57449076073544</v>
      </c>
      <c r="CG32" s="810">
        <v>9.11535440583849</v>
      </c>
      <c r="CH32" s="810">
        <v>9.0013095935908</v>
      </c>
      <c r="CI32" s="934">
        <v>8.36843695719435</v>
      </c>
    </row>
    <row r="33" ht="14.25" customHeight="1" spans="1:87" x14ac:dyDescent="0.25">
      <c r="A33" s="8"/>
      <c r="B33" s="8"/>
      <c r="C33" s="8" t="s">
        <v>990</v>
      </c>
      <c r="D33" s="8"/>
      <c r="E33" s="753">
        <f>AVERAGE(M73:Q87)</f>
        <v>132.58725755978912</v>
      </c>
      <c r="F33" s="753">
        <f>AVERAGE(S73:W87)</f>
        <v>43.77453800833605</v>
      </c>
      <c r="G33" s="753">
        <f>AVERAGE(Y73:AC87)</f>
        <v>16.292324801987608</v>
      </c>
      <c r="H33" s="753">
        <f>AVERAGE(AE73:AI87)</f>
        <v>14.412000070729407</v>
      </c>
      <c r="I33" s="75">
        <v>2</v>
      </c>
      <c r="J33" s="7">
        <v>2012</v>
      </c>
      <c r="K33" s="340" t="s">
        <v>1083</v>
      </c>
      <c r="L33" s="933">
        <v>13.7643666515064</v>
      </c>
      <c r="M33" s="810">
        <v>15.4349054034678</v>
      </c>
      <c r="N33" s="810">
        <v>14.2737110218604</v>
      </c>
      <c r="O33" s="810"/>
      <c r="P33" s="810"/>
      <c r="Q33" s="810">
        <v>18.8626425075537</v>
      </c>
      <c r="R33" s="810">
        <v>13.6265847691426</v>
      </c>
      <c r="S33" s="810">
        <v>13.9925299683208</v>
      </c>
      <c r="T33" s="810">
        <v>17.0848603517913</v>
      </c>
      <c r="U33" s="810"/>
      <c r="V33" s="810"/>
      <c r="W33" s="810">
        <v>18.3351157618261</v>
      </c>
      <c r="X33" s="810">
        <v>7.02435061686011</v>
      </c>
      <c r="Y33" s="810">
        <v>7.59856922213997</v>
      </c>
      <c r="Z33" s="810">
        <v>6.43386206223034</v>
      </c>
      <c r="AA33" s="810"/>
      <c r="AB33" s="810">
        <v>6.24450718176216</v>
      </c>
      <c r="AC33" s="810">
        <v>7.25183730085544</v>
      </c>
      <c r="AD33" s="810">
        <v>6.86014013258704</v>
      </c>
      <c r="AE33" s="810">
        <v>7.13940037240983</v>
      </c>
      <c r="AF33" s="810">
        <v>5.84566684751538</v>
      </c>
      <c r="AG33" s="810"/>
      <c r="AH33" s="810">
        <v>5.86190121979337</v>
      </c>
      <c r="AI33" s="810">
        <v>6.50314550288577</v>
      </c>
      <c r="AJ33" s="8"/>
      <c r="AK33" s="340" t="str">
        <f t="shared" si="11"/>
        <v>3Q12</v>
      </c>
      <c r="AL33" s="933">
        <f t="shared" si="12"/>
        <v>13.7643666515064</v>
      </c>
      <c r="AM33" s="810">
        <v>13.0330250990753</v>
      </c>
      <c r="AN33" s="810">
        <v>12.3103857018256</v>
      </c>
      <c r="AO33" s="810">
        <v>15.048128342246</v>
      </c>
      <c r="AP33" s="810">
        <v>14.7978910369069</v>
      </c>
      <c r="AQ33" s="934">
        <v>16.1496350364963</v>
      </c>
      <c r="AR33" s="933">
        <f t="shared" si="13"/>
        <v>13.6265847691426</v>
      </c>
      <c r="AS33" s="810">
        <v>13.2518468770987</v>
      </c>
      <c r="AT33" s="810">
        <v>11.8143277224061</v>
      </c>
      <c r="AU33" s="810">
        <v>14.3534812547819</v>
      </c>
      <c r="AV33" s="810">
        <v>14.2518618821936</v>
      </c>
      <c r="AW33" s="934">
        <v>12.6068376068376</v>
      </c>
      <c r="AX33" s="933">
        <f t="shared" si="14"/>
        <v>7.02435061686011</v>
      </c>
      <c r="AY33" s="810">
        <v>7.13845427889995</v>
      </c>
      <c r="AZ33" s="810">
        <v>7.2858484195114</v>
      </c>
      <c r="BA33" s="810">
        <v>8.56023963831996</v>
      </c>
      <c r="BB33" s="810">
        <v>8.52483697498763</v>
      </c>
      <c r="BC33" s="934">
        <v>8.51204820813631</v>
      </c>
      <c r="BD33" s="933">
        <f t="shared" si="20"/>
        <v>6.86014013258704</v>
      </c>
      <c r="BE33" s="810">
        <v>7.17551512396366</v>
      </c>
      <c r="BF33" s="810">
        <v>7.07841661921764</v>
      </c>
      <c r="BG33" s="810">
        <v>7.97209442218629</v>
      </c>
      <c r="BH33" s="810">
        <v>8.23352538970197</v>
      </c>
      <c r="BI33" s="934">
        <v>8.00985159188212</v>
      </c>
      <c r="BJ33" s="8"/>
      <c r="BK33" s="340" t="str">
        <f t="shared" si="15"/>
        <v>3Q12</v>
      </c>
      <c r="BL33" s="933">
        <f t="shared" si="16"/>
        <v>13.7643666515064</v>
      </c>
      <c r="BM33" s="810">
        <v>12.1215106732348</v>
      </c>
      <c r="BN33" s="810">
        <v>15.3631522896699</v>
      </c>
      <c r="BO33" s="810">
        <v>11.4534820830357</v>
      </c>
      <c r="BP33" s="810">
        <v>11.7898232831689</v>
      </c>
      <c r="BQ33" s="934">
        <v>13.0168776371308</v>
      </c>
      <c r="BR33" s="933">
        <f t="shared" si="17"/>
        <v>13.6265847691426</v>
      </c>
      <c r="BS33" s="810">
        <v>12.1996364237316</v>
      </c>
      <c r="BT33" s="810">
        <v>14.2156089869925</v>
      </c>
      <c r="BU33" s="810">
        <v>11.5879854859982</v>
      </c>
      <c r="BV33" s="810">
        <v>12.6164160594796</v>
      </c>
      <c r="BW33" s="934">
        <v>12.6046986721144</v>
      </c>
      <c r="BX33" s="933">
        <f t="shared" si="18"/>
        <v>7.02435061686011</v>
      </c>
      <c r="BY33" s="810">
        <v>6.76726294065942</v>
      </c>
      <c r="BZ33" s="810">
        <v>7.10345359639207</v>
      </c>
      <c r="CA33" s="810">
        <v>7.78108940528903</v>
      </c>
      <c r="CB33" s="810">
        <v>8.89386809611559</v>
      </c>
      <c r="CC33" s="934">
        <v>7.83430844388233</v>
      </c>
      <c r="CD33" s="933">
        <f t="shared" si="21"/>
        <v>6.86014013258704</v>
      </c>
      <c r="CE33" s="810">
        <v>7.42775735230166</v>
      </c>
      <c r="CF33" s="810">
        <v>8.32214301402676</v>
      </c>
      <c r="CG33" s="810">
        <v>7.3101900362287</v>
      </c>
      <c r="CH33" s="810">
        <v>8.08381866379652</v>
      </c>
      <c r="CI33" s="934">
        <v>7.55503811116955</v>
      </c>
    </row>
    <row r="34" ht="14.25" customHeight="1" spans="1:87" x14ac:dyDescent="0.25">
      <c r="A34" s="8"/>
      <c r="B34" s="8"/>
      <c r="C34" s="8" t="s">
        <v>991</v>
      </c>
      <c r="D34" s="8"/>
      <c r="E34" s="753">
        <f>AVERAGE(M65:Q87)</f>
        <v>103.42992957041533</v>
      </c>
      <c r="F34" s="753">
        <f>AVERAGE(S65:W87)</f>
        <v>56.24034700752069</v>
      </c>
      <c r="G34" s="753">
        <f>AVERAGE(Y65:AC87)</f>
        <v>16.47917135342099</v>
      </c>
      <c r="H34" s="753">
        <f>AVERAGE(AE65:AI87)</f>
        <v>14.52778559006374</v>
      </c>
      <c r="I34" s="75">
        <v>3</v>
      </c>
      <c r="J34" s="7">
        <v>2012</v>
      </c>
      <c r="K34" s="340" t="s">
        <v>1084</v>
      </c>
      <c r="L34" s="933">
        <v>15.4784302032566</v>
      </c>
      <c r="M34" s="810">
        <v>15.8728217210203</v>
      </c>
      <c r="N34" s="810">
        <v>15.1674649921521</v>
      </c>
      <c r="O34" s="810"/>
      <c r="P34" s="810"/>
      <c r="Q34" s="810">
        <v>22.728484066717</v>
      </c>
      <c r="R34" s="810">
        <v>15.2112211221122</v>
      </c>
      <c r="S34" s="810">
        <v>14.814489571899</v>
      </c>
      <c r="T34" s="810">
        <v>18.7619478839037</v>
      </c>
      <c r="U34" s="810"/>
      <c r="V34" s="810"/>
      <c r="W34" s="810">
        <v>20.487895716946</v>
      </c>
      <c r="X34" s="810">
        <v>7.52048051340987</v>
      </c>
      <c r="Y34" s="810">
        <v>7.73207013421164</v>
      </c>
      <c r="Z34" s="810">
        <v>6.77743428011459</v>
      </c>
      <c r="AA34" s="810"/>
      <c r="AB34" s="810">
        <v>6.66703275264807</v>
      </c>
      <c r="AC34" s="810">
        <v>9.13859990793832</v>
      </c>
      <c r="AD34" s="810">
        <v>7.34446263892451</v>
      </c>
      <c r="AE34" s="810">
        <v>7.34135972834852</v>
      </c>
      <c r="AF34" s="810">
        <v>6.20045758808726</v>
      </c>
      <c r="AG34" s="810"/>
      <c r="AH34" s="810">
        <v>6.05037731219597</v>
      </c>
      <c r="AI34" s="810">
        <v>7.13897661412305</v>
      </c>
      <c r="AJ34" s="8"/>
      <c r="AK34" s="340" t="str">
        <f t="shared" si="11"/>
        <v>4Q12</v>
      </c>
      <c r="AL34" s="933">
        <f t="shared" si="12"/>
        <v>15.4784302032566</v>
      </c>
      <c r="AM34" s="810">
        <v>14.2613784135241</v>
      </c>
      <c r="AN34" s="810">
        <v>10.9403486187251</v>
      </c>
      <c r="AO34" s="810">
        <v>13.6310164596243</v>
      </c>
      <c r="AP34" s="810">
        <v>12.3939393939394</v>
      </c>
      <c r="AQ34" s="934">
        <v>15.036496350365</v>
      </c>
      <c r="AR34" s="933">
        <f t="shared" si="13"/>
        <v>15.2112211221122</v>
      </c>
      <c r="AS34" s="810">
        <v>14.1894164833743</v>
      </c>
      <c r="AT34" s="810">
        <v>10.6953359427459</v>
      </c>
      <c r="AU34" s="810">
        <v>13.3708145927036</v>
      </c>
      <c r="AV34" s="810">
        <v>12.0274464956706</v>
      </c>
      <c r="AW34" s="934">
        <v>11.2568306010929</v>
      </c>
      <c r="AX34" s="933">
        <f t="shared" si="14"/>
        <v>7.52048051340987</v>
      </c>
      <c r="AY34" s="810">
        <v>7.63722758727173</v>
      </c>
      <c r="AZ34" s="810">
        <v>6.5458498682913</v>
      </c>
      <c r="BA34" s="810">
        <v>7.38488673506552</v>
      </c>
      <c r="BB34" s="810">
        <v>7.15096702293113</v>
      </c>
      <c r="BC34" s="934">
        <v>7.94865866056743</v>
      </c>
      <c r="BD34" s="933">
        <f t="shared" si="20"/>
        <v>7.34446263892451</v>
      </c>
      <c r="BE34" s="810">
        <v>7.65709577706541</v>
      </c>
      <c r="BF34" s="810">
        <v>6.31387809328918</v>
      </c>
      <c r="BG34" s="810">
        <v>7.29278151519314</v>
      </c>
      <c r="BH34" s="810">
        <v>7.04444582656831</v>
      </c>
      <c r="BI34" s="934">
        <v>7.05981330295993</v>
      </c>
      <c r="BJ34" s="8"/>
      <c r="BK34" s="340" t="str">
        <f t="shared" si="15"/>
        <v>4Q12</v>
      </c>
      <c r="BL34" s="933">
        <f t="shared" si="16"/>
        <v>15.4784302032566</v>
      </c>
      <c r="BM34" s="810">
        <v>9.80263157894737</v>
      </c>
      <c r="BN34" s="810">
        <v>10.2484472049689</v>
      </c>
      <c r="BO34" s="810">
        <v>11.5079392957746</v>
      </c>
      <c r="BP34" s="810">
        <v>8.52493561532834</v>
      </c>
      <c r="BQ34" s="934">
        <v>12.1578947368421</v>
      </c>
      <c r="BR34" s="933">
        <f t="shared" si="17"/>
        <v>15.2112211221122</v>
      </c>
      <c r="BS34" s="810">
        <v>9.80101956914981</v>
      </c>
      <c r="BT34" s="810">
        <v>10.116492949111</v>
      </c>
      <c r="BU34" s="810">
        <v>12.1166142857143</v>
      </c>
      <c r="BV34" s="810">
        <v>10.3440641357541</v>
      </c>
      <c r="BW34" s="934">
        <v>12.1406913280776</v>
      </c>
      <c r="BX34" s="933">
        <f t="shared" si="18"/>
        <v>7.52048051340987</v>
      </c>
      <c r="BY34" s="810">
        <v>5.8776212254061</v>
      </c>
      <c r="BZ34" s="810">
        <v>4.76372495848693</v>
      </c>
      <c r="CA34" s="810">
        <v>7.59923687527338</v>
      </c>
      <c r="CB34" s="810">
        <v>8.4334234393286</v>
      </c>
      <c r="CC34" s="934">
        <v>7.37840266412968</v>
      </c>
      <c r="CD34" s="933">
        <f t="shared" si="21"/>
        <v>7.34446263892451</v>
      </c>
      <c r="CE34" s="810">
        <v>6.22487769295433</v>
      </c>
      <c r="CF34" s="810">
        <v>5.71660154479643</v>
      </c>
      <c r="CG34" s="810">
        <v>7.06802129940095</v>
      </c>
      <c r="CH34" s="810">
        <v>7.00106176187648</v>
      </c>
      <c r="CI34" s="934">
        <v>7.14659152822386</v>
      </c>
    </row>
    <row r="35" ht="14.25" customHeight="1" spans="1:87" x14ac:dyDescent="0.25">
      <c r="A35" s="8"/>
      <c r="B35" s="8"/>
      <c r="C35" s="932" t="s">
        <v>1050</v>
      </c>
      <c r="D35" s="932"/>
      <c r="E35" s="932"/>
      <c r="F35" s="932"/>
      <c r="G35" s="932"/>
      <c r="H35" s="932"/>
      <c r="I35" s="75">
        <v>4</v>
      </c>
      <c r="J35" s="7">
        <v>2012</v>
      </c>
      <c r="K35" s="340" t="s">
        <v>1085</v>
      </c>
      <c r="L35" s="933">
        <v>18.9631522965239</v>
      </c>
      <c r="M35" s="810">
        <v>18.5195506186881</v>
      </c>
      <c r="N35" s="810">
        <v>15.0910615399974</v>
      </c>
      <c r="O35" s="810"/>
      <c r="P35" s="810"/>
      <c r="Q35" s="810">
        <v>19.6099546597864</v>
      </c>
      <c r="R35" s="810">
        <v>17.0359145325049</v>
      </c>
      <c r="S35" s="810">
        <v>17.6647963670587</v>
      </c>
      <c r="T35" s="810">
        <v>20.0289494390426</v>
      </c>
      <c r="U35" s="810"/>
      <c r="V35" s="810"/>
      <c r="W35" s="810">
        <v>20.4863402497645</v>
      </c>
      <c r="X35" s="810">
        <v>8.28753680507111</v>
      </c>
      <c r="Y35" s="810">
        <v>8.99265090942383</v>
      </c>
      <c r="Z35" s="810">
        <v>8.98604383747266</v>
      </c>
      <c r="AA35" s="810"/>
      <c r="AB35" s="810">
        <v>6.94147399893603</v>
      </c>
      <c r="AC35" s="810">
        <v>12.5205335748596</v>
      </c>
      <c r="AD35" s="810">
        <v>7.84466911393231</v>
      </c>
      <c r="AE35" s="810">
        <v>8.15223484804324</v>
      </c>
      <c r="AF35" s="810">
        <v>8.50913362707017</v>
      </c>
      <c r="AG35" s="810"/>
      <c r="AH35" s="810">
        <v>6.43156840786857</v>
      </c>
      <c r="AI35" s="810">
        <v>7.491231846704</v>
      </c>
      <c r="AJ35" s="8"/>
      <c r="AK35" s="340" t="str">
        <f t="shared" si="11"/>
        <v>1Q13</v>
      </c>
      <c r="AL35" s="933">
        <f t="shared" si="12"/>
        <v>18.9631522965239</v>
      </c>
      <c r="AM35" s="810">
        <v>10.8211068211068</v>
      </c>
      <c r="AN35" s="810">
        <v>21.9437661740064</v>
      </c>
      <c r="AO35" s="810">
        <v>12.4621362504108</v>
      </c>
      <c r="AP35" s="810">
        <v>9.37947882736156</v>
      </c>
      <c r="AQ35" s="934">
        <v>7.59576612903226</v>
      </c>
      <c r="AR35" s="933">
        <f t="shared" si="13"/>
        <v>17.0359145325049</v>
      </c>
      <c r="AS35" s="810">
        <v>10.8883708883709</v>
      </c>
      <c r="AT35" s="810">
        <v>7.85453529719339</v>
      </c>
      <c r="AU35" s="810">
        <v>12.6493184634449</v>
      </c>
      <c r="AV35" s="810">
        <v>9.32631578947369</v>
      </c>
      <c r="AW35" s="934">
        <v>10.0199468085106</v>
      </c>
      <c r="AX35" s="933">
        <f t="shared" si="14"/>
        <v>8.28753680507111</v>
      </c>
      <c r="AY35" s="810">
        <v>5.90011760747417</v>
      </c>
      <c r="AZ35" s="810">
        <v>4.82447464821243</v>
      </c>
      <c r="BA35" s="810">
        <v>7.14185113877008</v>
      </c>
      <c r="BB35" s="810">
        <v>6.06203857526081</v>
      </c>
      <c r="BC35" s="934">
        <v>5.50760434172874</v>
      </c>
      <c r="BD35" s="933">
        <f t="shared" si="20"/>
        <v>7.84466911393231</v>
      </c>
      <c r="BE35" s="810">
        <v>6.03087847680449</v>
      </c>
      <c r="BF35" s="810">
        <v>4.62504773738436</v>
      </c>
      <c r="BG35" s="810">
        <v>6.2991772819749</v>
      </c>
      <c r="BH35" s="810">
        <v>5.53833867354741</v>
      </c>
      <c r="BI35" s="934">
        <v>5.70512358787155</v>
      </c>
      <c r="BJ35" s="8"/>
      <c r="BK35" s="340" t="str">
        <f t="shared" si="15"/>
        <v>1Q13</v>
      </c>
      <c r="BL35" s="933">
        <f t="shared" si="16"/>
        <v>18.9631522965239</v>
      </c>
      <c r="BM35" s="810">
        <v>7.89222614840989</v>
      </c>
      <c r="BN35" s="810">
        <v>8.01673640167364</v>
      </c>
      <c r="BO35" s="810">
        <v>7.98578086153846</v>
      </c>
      <c r="BP35" s="810">
        <v>6.70691845599802</v>
      </c>
      <c r="BQ35" s="934">
        <v>10.784708249497</v>
      </c>
      <c r="BR35" s="933">
        <f t="shared" si="17"/>
        <v>17.0359145325049</v>
      </c>
      <c r="BS35" s="810">
        <v>7.57118644067797</v>
      </c>
      <c r="BT35" s="810">
        <v>8.47600088476001</v>
      </c>
      <c r="BU35" s="810">
        <v>8.1487559811617</v>
      </c>
      <c r="BV35" s="810">
        <v>8.31229787365712</v>
      </c>
      <c r="BW35" s="934">
        <v>10.9387755102041</v>
      </c>
      <c r="BX35" s="933">
        <f t="shared" si="18"/>
        <v>8.28753680507111</v>
      </c>
      <c r="BY35" s="810">
        <v>4.30281119062126</v>
      </c>
      <c r="BZ35" s="810">
        <v>3.84144099267505</v>
      </c>
      <c r="CA35" s="810">
        <v>5.64581306397784</v>
      </c>
      <c r="CB35" s="810">
        <v>6.80370302620347</v>
      </c>
      <c r="CC35" s="934">
        <v>6.62475062506113</v>
      </c>
      <c r="CD35" s="933">
        <f t="shared" si="21"/>
        <v>7.84466911393231</v>
      </c>
      <c r="CE35" s="810">
        <v>6.17013682805112</v>
      </c>
      <c r="CF35" s="810">
        <v>4.79104348371169</v>
      </c>
      <c r="CG35" s="810">
        <v>4.54697852739125</v>
      </c>
      <c r="CH35" s="810">
        <v>6.34376169566361</v>
      </c>
      <c r="CI35" s="934">
        <v>6.76024263312271</v>
      </c>
    </row>
    <row r="36" ht="14.25" customHeight="1" spans="1:87" x14ac:dyDescent="0.25">
      <c r="A36" s="8"/>
      <c r="B36" s="8"/>
      <c r="C36" s="75"/>
      <c r="D36" s="8"/>
      <c r="E36" s="75" t="s">
        <v>1039</v>
      </c>
      <c r="F36" s="75" t="s">
        <v>1040</v>
      </c>
      <c r="G36" s="75" t="s">
        <v>1041</v>
      </c>
      <c r="H36" s="75" t="s">
        <v>1042</v>
      </c>
      <c r="I36" s="75">
        <v>1</v>
      </c>
      <c r="J36" s="7">
        <v>2013</v>
      </c>
      <c r="K36" s="340" t="s">
        <v>1086</v>
      </c>
      <c r="L36" s="933">
        <v>22.0992604496164</v>
      </c>
      <c r="M36" s="810">
        <v>21.3975979299562</v>
      </c>
      <c r="N36" s="810">
        <v>15.2503128789581</v>
      </c>
      <c r="O36" s="810"/>
      <c r="P36" s="810"/>
      <c r="Q36" s="810">
        <v>18.5023665306726</v>
      </c>
      <c r="R36" s="810">
        <v>16.9040468508298</v>
      </c>
      <c r="S36" s="810">
        <v>17.8284044308044</v>
      </c>
      <c r="T36" s="810">
        <v>19.6452782857869</v>
      </c>
      <c r="U36" s="810"/>
      <c r="V36" s="810"/>
      <c r="W36" s="810">
        <v>16.9089358867203</v>
      </c>
      <c r="X36" s="810">
        <v>8.33710955161372</v>
      </c>
      <c r="Y36" s="810">
        <v>8.83592741181934</v>
      </c>
      <c r="Z36" s="810">
        <v>8.40469990397193</v>
      </c>
      <c r="AA36" s="810"/>
      <c r="AB36" s="810">
        <v>7.62199321405008</v>
      </c>
      <c r="AC36" s="810">
        <v>11.0761980527984</v>
      </c>
      <c r="AD36" s="810">
        <v>7.85366390702216</v>
      </c>
      <c r="AE36" s="810">
        <v>8.23161318638659</v>
      </c>
      <c r="AF36" s="810">
        <v>8.28414971265427</v>
      </c>
      <c r="AG36" s="810"/>
      <c r="AH36" s="810"/>
      <c r="AI36" s="810">
        <v>6.66641786143521</v>
      </c>
      <c r="AJ36" s="8"/>
      <c r="AK36" s="340" t="str">
        <f t="shared" si="11"/>
        <v>2Q13</v>
      </c>
      <c r="AL36" s="933">
        <f t="shared" si="12"/>
        <v>22.0992604496164</v>
      </c>
      <c r="AM36" s="810">
        <v>8.94170984455958</v>
      </c>
      <c r="AN36" s="810">
        <v>18.143558</v>
      </c>
      <c r="AO36" s="810">
        <v>9.14879335309855</v>
      </c>
      <c r="AP36" s="810">
        <v>6.77361563517915</v>
      </c>
      <c r="AQ36" s="934">
        <v>6.74395161290323</v>
      </c>
      <c r="AR36" s="933">
        <f t="shared" si="13"/>
        <v>16.9040468508298</v>
      </c>
      <c r="AS36" s="810">
        <v>9.4007898679014</v>
      </c>
      <c r="AT36" s="810">
        <v>8.16609809323432</v>
      </c>
      <c r="AU36" s="810">
        <v>8.41945945945946</v>
      </c>
      <c r="AV36" s="810">
        <v>6.82810704317846</v>
      </c>
      <c r="AW36" s="934">
        <v>8.06024096385542</v>
      </c>
      <c r="AX36" s="933">
        <f t="shared" si="14"/>
        <v>8.33710955161372</v>
      </c>
      <c r="AY36" s="810">
        <v>4.89790121018937</v>
      </c>
      <c r="AZ36" s="810">
        <v>4.62200946967527</v>
      </c>
      <c r="BA36" s="810">
        <v>5.07124184961911</v>
      </c>
      <c r="BB36" s="810">
        <v>4.50233671413515</v>
      </c>
      <c r="BC36" s="934">
        <v>4.90204376382567</v>
      </c>
      <c r="BD36" s="933">
        <f t="shared" si="20"/>
        <v>7.85366390702216</v>
      </c>
      <c r="BE36" s="810">
        <v>5.2630583207003</v>
      </c>
      <c r="BF36" s="810">
        <v>4.9107333603228</v>
      </c>
      <c r="BG36" s="810">
        <v>4.76823874635809</v>
      </c>
      <c r="BH36" s="810">
        <v>4.5585638192333</v>
      </c>
      <c r="BI36" s="934">
        <v>4.8074347810977</v>
      </c>
      <c r="BJ36" s="8"/>
      <c r="BK36" s="340" t="str">
        <f t="shared" si="15"/>
        <v>2Q13</v>
      </c>
      <c r="BL36" s="933">
        <f t="shared" si="16"/>
        <v>22.0992604496164</v>
      </c>
      <c r="BM36" s="810">
        <v>6.06261010977097</v>
      </c>
      <c r="BN36" s="810">
        <v>7.29854559770248</v>
      </c>
      <c r="BO36" s="810">
        <v>5.51742027483059</v>
      </c>
      <c r="BP36" s="810">
        <v>6.20276365659083</v>
      </c>
      <c r="BQ36" s="934">
        <v>8.96724015554344</v>
      </c>
      <c r="BR36" s="933">
        <f t="shared" si="17"/>
        <v>16.9040468508298</v>
      </c>
      <c r="BS36" s="810">
        <v>13.1576470588235</v>
      </c>
      <c r="BT36" s="810">
        <v>10.2303143479614</v>
      </c>
      <c r="BU36" s="810">
        <v>10.0395161714876</v>
      </c>
      <c r="BV36" s="810">
        <v>8.64779520486701</v>
      </c>
      <c r="BW36" s="934">
        <v>10.3069544364508</v>
      </c>
      <c r="BX36" s="933">
        <f t="shared" si="18"/>
        <v>8.33710955161372</v>
      </c>
      <c r="BY36" s="810">
        <v>3.7364763015806</v>
      </c>
      <c r="BZ36" s="810">
        <v>3.66001445821772</v>
      </c>
      <c r="CA36" s="810">
        <v>4.34125575482718</v>
      </c>
      <c r="CB36" s="810">
        <v>6.51077564649239</v>
      </c>
      <c r="CC36" s="934">
        <v>5.76187677861997</v>
      </c>
      <c r="CD36" s="933">
        <f t="shared" si="21"/>
        <v>7.85366390702216</v>
      </c>
      <c r="CE36" s="810">
        <v>6.63022308926675</v>
      </c>
      <c r="CF36" s="810">
        <v>5.85000314803948</v>
      </c>
      <c r="CG36" s="810">
        <v>4.72919234884656</v>
      </c>
      <c r="CH36" s="810">
        <v>5.90416055786468</v>
      </c>
      <c r="CI36" s="934">
        <v>6.27194697572948</v>
      </c>
    </row>
    <row r="37" ht="14.25" customHeight="1" spans="1:87" x14ac:dyDescent="0.25">
      <c r="A37" s="8"/>
      <c r="B37" s="8"/>
      <c r="C37" s="8" t="s">
        <v>1053</v>
      </c>
      <c r="D37" s="8"/>
      <c r="E37" s="753">
        <f>AVERAGE(M8:Q75)</f>
        <v>41.47627632210131</v>
      </c>
      <c r="F37" s="753">
        <f>AVERAGE(S8:W75)</f>
        <v>39.550131182101644</v>
      </c>
      <c r="G37" s="753">
        <f>AVERAGE(Y8:AC75)</f>
        <v>10.802382611890618</v>
      </c>
      <c r="H37" s="753">
        <f>AVERAGE(AE8:AI75)</f>
        <v>9.810053865607403</v>
      </c>
      <c r="I37" s="75">
        <v>2</v>
      </c>
      <c r="J37" s="7">
        <v>2013</v>
      </c>
      <c r="K37" s="340" t="s">
        <v>1087</v>
      </c>
      <c r="L37" s="933">
        <v>22.7118152500036</v>
      </c>
      <c r="M37" s="810">
        <v>20.8122321825542</v>
      </c>
      <c r="N37" s="810">
        <v>17.3194282887569</v>
      </c>
      <c r="O37" s="810"/>
      <c r="P37" s="810"/>
      <c r="Q37" s="810">
        <v>21.3758216354216</v>
      </c>
      <c r="R37" s="810">
        <v>16.4432842814875</v>
      </c>
      <c r="S37" s="810">
        <v>17.7420628563805</v>
      </c>
      <c r="T37" s="810">
        <v>21.4071883060405</v>
      </c>
      <c r="U37" s="810"/>
      <c r="V37" s="810"/>
      <c r="W37" s="810">
        <v>22.6391892106223</v>
      </c>
      <c r="X37" s="810">
        <v>8.41601750766033</v>
      </c>
      <c r="Y37" s="810">
        <v>8.85780535576382</v>
      </c>
      <c r="Z37" s="810">
        <v>8.59347100920349</v>
      </c>
      <c r="AA37" s="810"/>
      <c r="AB37" s="810">
        <v>7.91709516244127</v>
      </c>
      <c r="AC37" s="810">
        <v>11.1862887821529</v>
      </c>
      <c r="AD37" s="810">
        <v>7.73685849192229</v>
      </c>
      <c r="AE37" s="810">
        <v>8.12498077866133</v>
      </c>
      <c r="AF37" s="810">
        <v>9.07060260025899</v>
      </c>
      <c r="AG37" s="810"/>
      <c r="AH37" s="810"/>
      <c r="AI37" s="810">
        <v>7.78040917999375</v>
      </c>
      <c r="AJ37" s="8"/>
      <c r="AK37" s="340" t="str">
        <f t="shared" si="11"/>
        <v>3Q13</v>
      </c>
      <c r="AL37" s="933">
        <f t="shared" si="12"/>
        <v>22.7118152500036</v>
      </c>
      <c r="AM37" s="810">
        <v>10.8400537634409</v>
      </c>
      <c r="AN37" s="810">
        <v>20.8031558594378</v>
      </c>
      <c r="AO37" s="810">
        <v>9.88465235857861</v>
      </c>
      <c r="AP37" s="810">
        <v>8.8482428115016</v>
      </c>
      <c r="AQ37" s="934">
        <v>10.9902597402597</v>
      </c>
      <c r="AR37" s="933">
        <f t="shared" si="13"/>
        <v>16.4432842814875</v>
      </c>
      <c r="AS37" s="810">
        <v>10.8810037776579</v>
      </c>
      <c r="AT37" s="810">
        <v>8.3497655595406</v>
      </c>
      <c r="AU37" s="810">
        <v>9.41712590080543</v>
      </c>
      <c r="AV37" s="810">
        <v>9.01823510257245</v>
      </c>
      <c r="AW37" s="934">
        <v>8.05952380952381</v>
      </c>
      <c r="AX37" s="933">
        <f t="shared" si="14"/>
        <v>8.41601750766033</v>
      </c>
      <c r="AY37" s="810">
        <v>5.82167252554598</v>
      </c>
      <c r="AZ37" s="810">
        <v>5.04100180226023</v>
      </c>
      <c r="BA37" s="810">
        <v>5.51825909288744</v>
      </c>
      <c r="BB37" s="810">
        <v>5.75990533872074</v>
      </c>
      <c r="BC37" s="934">
        <v>4.63550797149717</v>
      </c>
      <c r="BD37" s="933">
        <f t="shared" si="20"/>
        <v>7.73685849192229</v>
      </c>
      <c r="BE37" s="810">
        <v>5.95575380710775</v>
      </c>
      <c r="BF37" s="810">
        <v>5.05876329563125</v>
      </c>
      <c r="BG37" s="810">
        <v>5.28198572877306</v>
      </c>
      <c r="BH37" s="810">
        <v>5.86429997708341</v>
      </c>
      <c r="BI37" s="934">
        <v>4.71638627172521</v>
      </c>
      <c r="BJ37" s="8"/>
      <c r="BK37" s="340" t="str">
        <f t="shared" si="15"/>
        <v>3Q13</v>
      </c>
      <c r="BL37" s="933">
        <f t="shared" si="16"/>
        <v>22.7118152500036</v>
      </c>
      <c r="BM37" s="810">
        <v>9.19853836784409</v>
      </c>
      <c r="BN37" s="810">
        <v>10.3133050412313</v>
      </c>
      <c r="BO37" s="810">
        <v>7.82122628507479</v>
      </c>
      <c r="BP37" s="810">
        <v>7.68649436762423</v>
      </c>
      <c r="BQ37" s="934">
        <v>11.2296705358169</v>
      </c>
      <c r="BR37" s="933">
        <f t="shared" si="17"/>
        <v>16.4432842814875</v>
      </c>
      <c r="BS37" s="810">
        <v>28.2634730538922</v>
      </c>
      <c r="BT37" s="810">
        <v>15.7036163522013</v>
      </c>
      <c r="BU37" s="810">
        <v>11.4957820489796</v>
      </c>
      <c r="BV37" s="810">
        <v>10.4776994462381</v>
      </c>
      <c r="BW37" s="934">
        <v>12.747791952895</v>
      </c>
      <c r="BX37" s="933">
        <f t="shared" si="18"/>
        <v>8.41601750766033</v>
      </c>
      <c r="BY37" s="810">
        <v>4.9804834814134</v>
      </c>
      <c r="BZ37" s="810">
        <v>3.58839260043144</v>
      </c>
      <c r="CA37" s="810">
        <v>5.67519919824192</v>
      </c>
      <c r="CB37" s="810">
        <v>7.58509884744024</v>
      </c>
      <c r="CC37" s="934">
        <v>7.07566910748467</v>
      </c>
      <c r="CD37" s="933">
        <f t="shared" si="21"/>
        <v>7.73685849192229</v>
      </c>
      <c r="CE37" s="810">
        <v>9.89561708373266</v>
      </c>
      <c r="CF37" s="810">
        <v>6.09088945161138</v>
      </c>
      <c r="CG37" s="810">
        <v>6.66279642640942</v>
      </c>
      <c r="CH37" s="810">
        <v>6.76085839496737</v>
      </c>
      <c r="CI37" s="934">
        <v>7.46422950954564</v>
      </c>
    </row>
    <row r="38" ht="14.25" customHeight="1" spans="1:87" x14ac:dyDescent="0.25">
      <c r="A38" s="8"/>
      <c r="B38" s="8"/>
      <c r="C38" s="8" t="s">
        <v>1055</v>
      </c>
      <c r="D38" s="8"/>
      <c r="E38" s="753">
        <f t="shared" ref="E38:H40" si="22">AVERAGE(E42,E46)</f>
        <v>43.327231681385115</v>
      </c>
      <c r="F38" s="753">
        <f t="shared" si="22"/>
        <v>36.70956493032837</v>
      </c>
      <c r="G38" s="753">
        <f t="shared" si="22"/>
        <v>8.546580070432931</v>
      </c>
      <c r="H38" s="753">
        <f t="shared" si="22"/>
        <v>7.960159385431</v>
      </c>
      <c r="I38" s="75">
        <v>3</v>
      </c>
      <c r="J38" s="7">
        <v>2013</v>
      </c>
      <c r="K38" s="340" t="s">
        <v>1088</v>
      </c>
      <c r="L38" s="933">
        <v>21.8231822669554</v>
      </c>
      <c r="M38" s="810">
        <v>20.2170573931035</v>
      </c>
      <c r="N38" s="810">
        <v>15.868030802321</v>
      </c>
      <c r="O38" s="810"/>
      <c r="P38" s="810"/>
      <c r="Q38" s="810">
        <v>21.2142054508762</v>
      </c>
      <c r="R38" s="810">
        <v>16.66818804199</v>
      </c>
      <c r="S38" s="810">
        <v>18.8265734265734</v>
      </c>
      <c r="T38" s="810">
        <v>20.6102141512359</v>
      </c>
      <c r="U38" s="810"/>
      <c r="V38" s="810"/>
      <c r="W38" s="810">
        <v>22.426930269837</v>
      </c>
      <c r="X38" s="810">
        <v>8.12983860421674</v>
      </c>
      <c r="Y38" s="810">
        <v>9.33454251261746</v>
      </c>
      <c r="Z38" s="810">
        <v>7.77803835776268</v>
      </c>
      <c r="AA38" s="810"/>
      <c r="AB38" s="810">
        <v>7.60778853591897</v>
      </c>
      <c r="AC38" s="810">
        <v>10.2945329999003</v>
      </c>
      <c r="AD38" s="810">
        <v>7.63089425575268</v>
      </c>
      <c r="AE38" s="810">
        <v>8.54629099580215</v>
      </c>
      <c r="AF38" s="810">
        <v>8.71923685734486</v>
      </c>
      <c r="AG38" s="810"/>
      <c r="AH38" s="810"/>
      <c r="AI38" s="810">
        <v>7.74198770384541</v>
      </c>
      <c r="AJ38" s="8"/>
      <c r="AK38" s="340" t="str">
        <f t="shared" si="11"/>
        <v>4Q13</v>
      </c>
      <c r="AL38" s="933">
        <f t="shared" si="12"/>
        <v>21.8231822669554</v>
      </c>
      <c r="AM38" s="810">
        <v>10.5377576439906</v>
      </c>
      <c r="AN38" s="810">
        <v>27.4851857570911</v>
      </c>
      <c r="AO38" s="810">
        <v>10.2080314672093</v>
      </c>
      <c r="AP38" s="810">
        <v>10.1572327044025</v>
      </c>
      <c r="AQ38" s="934">
        <v>11.3376623376623</v>
      </c>
      <c r="AR38" s="933">
        <f t="shared" si="13"/>
        <v>16.66818804199</v>
      </c>
      <c r="AS38" s="810">
        <v>10.5899905058999</v>
      </c>
      <c r="AT38" s="810">
        <v>9.63399473117176</v>
      </c>
      <c r="AU38" s="810">
        <v>10.025078369906</v>
      </c>
      <c r="AV38" s="810">
        <v>10.4683195592286</v>
      </c>
      <c r="AW38" s="934">
        <v>8.64356435643564</v>
      </c>
      <c r="AX38" s="933">
        <f t="shared" si="14"/>
        <v>8.12983860421674</v>
      </c>
      <c r="AY38" s="810">
        <v>5.75086825776484</v>
      </c>
      <c r="AZ38" s="810">
        <v>5.76379770975627</v>
      </c>
      <c r="BA38" s="810">
        <v>5.67244769955988</v>
      </c>
      <c r="BB38" s="810">
        <v>6.41895446200724</v>
      </c>
      <c r="BC38" s="934">
        <v>4.78298077282033</v>
      </c>
      <c r="BD38" s="933">
        <f t="shared" si="20"/>
        <v>7.63089425575268</v>
      </c>
      <c r="BE38" s="810">
        <v>5.82626829111257</v>
      </c>
      <c r="BF38" s="810">
        <v>5.64016330373248</v>
      </c>
      <c r="BG38" s="810">
        <v>5.50800076174861</v>
      </c>
      <c r="BH38" s="810">
        <v>6.54640211913482</v>
      </c>
      <c r="BI38" s="934">
        <v>4.90525100638369</v>
      </c>
      <c r="BJ38" s="8"/>
      <c r="BK38" s="340" t="str">
        <f t="shared" si="15"/>
        <v>4Q13</v>
      </c>
      <c r="BL38" s="933">
        <f t="shared" si="16"/>
        <v>21.8231822669554</v>
      </c>
      <c r="BM38" s="810">
        <v>19.4664826079701</v>
      </c>
      <c r="BN38" s="810">
        <v>12.1118500568766</v>
      </c>
      <c r="BO38" s="810">
        <v>12.9341481944021</v>
      </c>
      <c r="BP38" s="810">
        <v>10.6991838719928</v>
      </c>
      <c r="BQ38" s="934">
        <v>13.6541211445259</v>
      </c>
      <c r="BR38" s="933">
        <f t="shared" si="17"/>
        <v>16.66818804199</v>
      </c>
      <c r="BS38" s="810">
        <v>35.2783505154639</v>
      </c>
      <c r="BT38" s="810">
        <v>16.3007975693126</v>
      </c>
      <c r="BU38" s="810">
        <v>16.1718729385246</v>
      </c>
      <c r="BV38" s="810">
        <v>12.6626890556961</v>
      </c>
      <c r="BW38" s="934">
        <v>14.9191968658178</v>
      </c>
      <c r="BX38" s="933">
        <f t="shared" si="18"/>
        <v>8.12983860421674</v>
      </c>
      <c r="BY38" s="810">
        <v>8.42885511890875</v>
      </c>
      <c r="BZ38" s="810">
        <v>4.11881142036482</v>
      </c>
      <c r="CA38" s="810">
        <v>8.4896052720449</v>
      </c>
      <c r="CB38" s="810">
        <v>7.89812505069555</v>
      </c>
      <c r="CC38" s="934">
        <v>8.31292487435405</v>
      </c>
      <c r="CD38" s="933">
        <f t="shared" si="21"/>
        <v>7.63089425575268</v>
      </c>
      <c r="CE38" s="810">
        <v>13.4717395070908</v>
      </c>
      <c r="CF38" s="810">
        <v>8.52424333939433</v>
      </c>
      <c r="CG38" s="810">
        <v>6.84037574361095</v>
      </c>
      <c r="CH38" s="810">
        <v>7.62192591280778</v>
      </c>
      <c r="CI38" s="934">
        <v>8.47323729728315</v>
      </c>
    </row>
    <row r="39" ht="14.25" customHeight="1" spans="1:87" x14ac:dyDescent="0.25">
      <c r="A39" s="8"/>
      <c r="B39" s="8"/>
      <c r="C39" s="8" t="s">
        <v>1057</v>
      </c>
      <c r="D39" s="8"/>
      <c r="E39" s="753">
        <f t="shared" si="22"/>
        <v>42.48866795248095</v>
      </c>
      <c r="F39" s="753">
        <f t="shared" si="22"/>
        <v>29.72658176292574</v>
      </c>
      <c r="G39" s="753">
        <f t="shared" si="22"/>
        <v>10.038545150783973</v>
      </c>
      <c r="H39" s="753">
        <f t="shared" si="22"/>
        <v>8.989351857512425</v>
      </c>
      <c r="I39" s="75">
        <v>4</v>
      </c>
      <c r="J39" s="7">
        <v>2013</v>
      </c>
      <c r="K39" s="340" t="s">
        <v>1089</v>
      </c>
      <c r="L39" s="933">
        <v>20.125786163522</v>
      </c>
      <c r="M39" s="810">
        <v>21.2966075268599</v>
      </c>
      <c r="N39" s="810">
        <v>15.1701516757843</v>
      </c>
      <c r="O39" s="810"/>
      <c r="P39" s="810"/>
      <c r="Q39" s="810">
        <v>26.6080922789426</v>
      </c>
      <c r="R39" s="810">
        <v>16.9753573859768</v>
      </c>
      <c r="S39" s="810">
        <v>17.6684197657527</v>
      </c>
      <c r="T39" s="810">
        <v>22.3294844484559</v>
      </c>
      <c r="U39" s="810"/>
      <c r="V39" s="810"/>
      <c r="W39" s="810">
        <v>28.8875219683655</v>
      </c>
      <c r="X39" s="810">
        <v>7.81869223621193</v>
      </c>
      <c r="Y39" s="810">
        <v>8.77362016523722</v>
      </c>
      <c r="Z39" s="810">
        <v>7.76746090246202</v>
      </c>
      <c r="AA39" s="810"/>
      <c r="AB39" s="810">
        <v>7.49624852660816</v>
      </c>
      <c r="AC39" s="810">
        <v>8.63997088128405</v>
      </c>
      <c r="AD39" s="810">
        <v>7.54071222155655</v>
      </c>
      <c r="AE39" s="810">
        <v>8.25284063624098</v>
      </c>
      <c r="AF39" s="810">
        <v>9.43728516684284</v>
      </c>
      <c r="AG39" s="810"/>
      <c r="AH39" s="810"/>
      <c r="AI39" s="810">
        <v>8.03904496725512</v>
      </c>
      <c r="AJ39" s="8"/>
      <c r="AK39" s="340" t="str">
        <f t="shared" si="11"/>
        <v>1Q14</v>
      </c>
      <c r="AL39" s="933">
        <f t="shared" si="12"/>
        <v>20.125786163522</v>
      </c>
      <c r="AM39" s="810">
        <v>10.1197188934144</v>
      </c>
      <c r="AN39" s="810">
        <v>11.7970385363965</v>
      </c>
      <c r="AO39" s="810">
        <v>10.5807044670822</v>
      </c>
      <c r="AP39" s="810">
        <v>10.9774557165862</v>
      </c>
      <c r="AQ39" s="934">
        <v>11.6558441558442</v>
      </c>
      <c r="AR39" s="933">
        <f t="shared" si="13"/>
        <v>16.9753573859768</v>
      </c>
      <c r="AS39" s="810">
        <v>9.93277089375165</v>
      </c>
      <c r="AT39" s="810">
        <v>9.80566783723631</v>
      </c>
      <c r="AU39" s="810">
        <v>10.6732960430909</v>
      </c>
      <c r="AV39" s="810">
        <v>11.0147035062207</v>
      </c>
      <c r="AW39" s="934">
        <v>8.89851485148515</v>
      </c>
      <c r="AX39" s="933">
        <f t="shared" si="14"/>
        <v>7.81869223621193</v>
      </c>
      <c r="AY39" s="810">
        <v>5.91454019307236</v>
      </c>
      <c r="AZ39" s="810">
        <v>6.57052903854619</v>
      </c>
      <c r="BA39" s="810">
        <v>5.67431486087671</v>
      </c>
      <c r="BB39" s="810">
        <v>6.58510139823663</v>
      </c>
      <c r="BC39" s="934">
        <v>5.03048952812205</v>
      </c>
      <c r="BD39" s="933">
        <f t="shared" si="20"/>
        <v>7.54071222155655</v>
      </c>
      <c r="BE39" s="810">
        <v>6.0064613737832</v>
      </c>
      <c r="BF39" s="810">
        <v>5.03010214457906</v>
      </c>
      <c r="BG39" s="810">
        <v>5.86572589595718</v>
      </c>
      <c r="BH39" s="810">
        <v>6.45559338832222</v>
      </c>
      <c r="BI39" s="934">
        <v>4.62066972486577</v>
      </c>
      <c r="BJ39" s="8"/>
      <c r="BK39" s="340" t="str">
        <f t="shared" si="15"/>
        <v>1Q14</v>
      </c>
      <c r="BL39" s="933">
        <f t="shared" si="16"/>
        <v>20.125786163522</v>
      </c>
      <c r="BM39" s="810">
        <v>28.6224270452053</v>
      </c>
      <c r="BN39" s="810">
        <v>25.6560579886675</v>
      </c>
      <c r="BO39" s="810">
        <v>14.7276675216782</v>
      </c>
      <c r="BP39" s="810">
        <v>13.5143829788318</v>
      </c>
      <c r="BQ39" s="934">
        <v>15.4123269305155</v>
      </c>
      <c r="BR39" s="933">
        <f t="shared" si="17"/>
        <v>16.9753573859768</v>
      </c>
      <c r="BS39" s="810">
        <v>28.2128712871287</v>
      </c>
      <c r="BT39" s="810">
        <v>21.5326433121019</v>
      </c>
      <c r="BU39" s="810">
        <v>14.5874961705115</v>
      </c>
      <c r="BV39" s="810">
        <v>13.126449359233</v>
      </c>
      <c r="BW39" s="934">
        <v>16.8634596695821</v>
      </c>
      <c r="BX39" s="933">
        <f t="shared" si="18"/>
        <v>7.81869223621193</v>
      </c>
      <c r="BY39" s="810">
        <v>14.1545619542665</v>
      </c>
      <c r="BZ39" s="810">
        <v>6.03047033443133</v>
      </c>
      <c r="CA39" s="810">
        <v>7.96553378664613</v>
      </c>
      <c r="CB39" s="810">
        <v>9.80775472028126</v>
      </c>
      <c r="CC39" s="934">
        <v>9.2828708723069</v>
      </c>
      <c r="CD39" s="933">
        <f t="shared" si="21"/>
        <v>7.54071222155655</v>
      </c>
      <c r="CE39" s="810">
        <v>9.83100998373389</v>
      </c>
      <c r="CF39" s="810">
        <v>8.1240381305083</v>
      </c>
      <c r="CG39" s="810">
        <v>7.31440259308921</v>
      </c>
      <c r="CH39" s="810">
        <v>8.17767144467011</v>
      </c>
      <c r="CI39" s="934">
        <v>8.48806467440511</v>
      </c>
    </row>
    <row r="40" ht="14.25" customHeight="1" spans="1:87" x14ac:dyDescent="0.25">
      <c r="A40" s="8"/>
      <c r="B40" s="8"/>
      <c r="C40" s="8" t="s">
        <v>1059</v>
      </c>
      <c r="D40" s="8"/>
      <c r="E40" s="753">
        <f t="shared" si="22"/>
        <v>31.23443297633871</v>
      </c>
      <c r="F40" s="753">
        <f t="shared" si="22"/>
        <v>39.43042485427373</v>
      </c>
      <c r="G40" s="753">
        <f t="shared" si="22"/>
        <v>11.80551593136045</v>
      </c>
      <c r="H40" s="753">
        <f t="shared" si="22"/>
        <v>10.517687604332423</v>
      </c>
      <c r="I40" s="75">
        <v>1</v>
      </c>
      <c r="J40" s="7">
        <v>2014</v>
      </c>
      <c r="K40" s="340" t="s">
        <v>1090</v>
      </c>
      <c r="L40" s="933">
        <v>24.0474438270205</v>
      </c>
      <c r="M40" s="810">
        <v>22.3475465661319</v>
      </c>
      <c r="N40" s="810">
        <v>14.9900275458353</v>
      </c>
      <c r="O40" s="810"/>
      <c r="P40" s="810"/>
      <c r="Q40" s="810">
        <v>34.4458401487846</v>
      </c>
      <c r="R40" s="810">
        <v>18.4480238955758</v>
      </c>
      <c r="S40" s="810">
        <v>18.1919596636783</v>
      </c>
      <c r="T40" s="810">
        <v>22.0545814782257</v>
      </c>
      <c r="U40" s="810"/>
      <c r="V40" s="810"/>
      <c r="W40" s="810">
        <v>30.5181629782578</v>
      </c>
      <c r="X40" s="810">
        <v>8.33783790148702</v>
      </c>
      <c r="Y40" s="810">
        <v>8.95681081362581</v>
      </c>
      <c r="Z40" s="810">
        <v>7.44531554413606</v>
      </c>
      <c r="AA40" s="810"/>
      <c r="AB40" s="810">
        <v>7.42697836467002</v>
      </c>
      <c r="AC40" s="810">
        <v>10.0965982209488</v>
      </c>
      <c r="AD40" s="810">
        <v>8.0420967222677</v>
      </c>
      <c r="AE40" s="810">
        <v>8.50475705868584</v>
      </c>
      <c r="AF40" s="810">
        <v>9.17750879171326</v>
      </c>
      <c r="AG40" s="810"/>
      <c r="AH40" s="810"/>
      <c r="AI40" s="810">
        <v>8.81590519613174</v>
      </c>
      <c r="AJ40" s="8"/>
      <c r="AK40" s="340" t="str">
        <f t="shared" si="11"/>
        <v>2Q14</v>
      </c>
      <c r="AL40" s="933">
        <f t="shared" si="12"/>
        <v>24.0474438270205</v>
      </c>
      <c r="AM40" s="810">
        <v>11.2459018741683</v>
      </c>
      <c r="AN40" s="810">
        <v>13.1752667734563</v>
      </c>
      <c r="AO40" s="810">
        <v>11.5195012733566</v>
      </c>
      <c r="AP40" s="810">
        <v>12.4315619967794</v>
      </c>
      <c r="AQ40" s="934"/>
      <c r="AR40" s="933">
        <f t="shared" si="13"/>
        <v>18.4480238955758</v>
      </c>
      <c r="AS40" s="810">
        <v>11.1375802997859</v>
      </c>
      <c r="AT40" s="810">
        <v>10.206529667639</v>
      </c>
      <c r="AU40" s="810">
        <v>11.4790996784566</v>
      </c>
      <c r="AV40" s="810">
        <v>11.7952635599694</v>
      </c>
      <c r="AW40" s="934">
        <v>8.63488372093023</v>
      </c>
      <c r="AX40" s="933">
        <f t="shared" si="14"/>
        <v>8.33783790148702</v>
      </c>
      <c r="AY40" s="810">
        <v>6.37346540340196</v>
      </c>
      <c r="AZ40" s="810">
        <v>7.79228770791539</v>
      </c>
      <c r="BA40" s="810">
        <v>6.23389074738903</v>
      </c>
      <c r="BB40" s="810">
        <v>7.38346757418372</v>
      </c>
      <c r="BC40" s="934">
        <v>5.16271847804848</v>
      </c>
      <c r="BD40" s="933">
        <f t="shared" si="20"/>
        <v>8.0420967222677</v>
      </c>
      <c r="BE40" s="810">
        <v>6.26735005457296</v>
      </c>
      <c r="BF40" s="810">
        <v>6.12120177969153</v>
      </c>
      <c r="BG40" s="810">
        <v>6.40531229040912</v>
      </c>
      <c r="BH40" s="810">
        <v>7.19464424631259</v>
      </c>
      <c r="BI40" s="934">
        <v>4.60460511198831</v>
      </c>
      <c r="BJ40" s="8"/>
      <c r="BK40" s="340" t="str">
        <f t="shared" si="15"/>
        <v>2Q14</v>
      </c>
      <c r="BL40" s="933">
        <f t="shared" si="16"/>
        <v>24.0474438270205</v>
      </c>
      <c r="BM40" s="810">
        <v>30.6330289851329</v>
      </c>
      <c r="BN40" s="810">
        <v>27.9859571305592</v>
      </c>
      <c r="BO40" s="810">
        <v>18.4238341654617</v>
      </c>
      <c r="BP40" s="810">
        <v>14.9901358803284</v>
      </c>
      <c r="BQ40" s="934">
        <v>16.0648337493764</v>
      </c>
      <c r="BR40" s="933">
        <f t="shared" si="17"/>
        <v>18.4480238955758</v>
      </c>
      <c r="BS40" s="810">
        <v>23.8068181818182</v>
      </c>
      <c r="BT40" s="810">
        <v>18.6103286384977</v>
      </c>
      <c r="BU40" s="810">
        <v>17.1854376031434</v>
      </c>
      <c r="BV40" s="810">
        <v>17.8308441541432</v>
      </c>
      <c r="BW40" s="934">
        <v>15.8335125833513</v>
      </c>
      <c r="BX40" s="933">
        <f t="shared" si="18"/>
        <v>8.33783790148702</v>
      </c>
      <c r="BY40" s="810">
        <v>12.476167804583</v>
      </c>
      <c r="BZ40" s="810">
        <v>7.63827368985477</v>
      </c>
      <c r="CA40" s="810">
        <v>9.43856452292771</v>
      </c>
      <c r="CB40" s="810">
        <v>10.6734174337219</v>
      </c>
      <c r="CC40" s="934">
        <v>9.66733389012338</v>
      </c>
      <c r="CD40" s="933">
        <f t="shared" si="21"/>
        <v>8.0420967222677</v>
      </c>
      <c r="CE40" s="810">
        <v>10.4278073137258</v>
      </c>
      <c r="CF40" s="810">
        <v>8.88010584888657</v>
      </c>
      <c r="CG40" s="810">
        <v>8.9840782933758</v>
      </c>
      <c r="CH40" s="810">
        <v>9.31664203954609</v>
      </c>
      <c r="CI40" s="934">
        <v>8.85374365092694</v>
      </c>
    </row>
    <row r="41" ht="14.25" customHeight="1" spans="1:87" x14ac:dyDescent="0.25">
      <c r="A41" s="8"/>
      <c r="B41" s="8"/>
      <c r="C41" s="8" t="s">
        <v>1061</v>
      </c>
      <c r="D41" s="8"/>
      <c r="E41" s="753">
        <f>AVERAGE(M8:Q35)</f>
        <v>28.965608910227935</v>
      </c>
      <c r="F41" s="753">
        <f>AVERAGE(S8:W35)</f>
        <v>30.335029031367235</v>
      </c>
      <c r="G41" s="753">
        <f>AVERAGE(Y8:AC35)</f>
        <v>7.63469082902606</v>
      </c>
      <c r="H41" s="753">
        <f>AVERAGE(AE8:AI35)</f>
        <v>6.838888892339283</v>
      </c>
      <c r="I41" s="75">
        <v>2</v>
      </c>
      <c r="J41" s="7">
        <v>2014</v>
      </c>
      <c r="K41" s="340" t="s">
        <v>1091</v>
      </c>
      <c r="L41" s="933">
        <v>20.1729330110765</v>
      </c>
      <c r="M41" s="810">
        <v>23.079011016064</v>
      </c>
      <c r="N41" s="810">
        <v>14.5034809257135</v>
      </c>
      <c r="O41" s="810"/>
      <c r="P41" s="810"/>
      <c r="Q41" s="810">
        <v>28.0436340638617</v>
      </c>
      <c r="R41" s="810">
        <v>18.4503436857937</v>
      </c>
      <c r="S41" s="810">
        <v>18.874318545069</v>
      </c>
      <c r="T41" s="810">
        <v>21.1610532793256</v>
      </c>
      <c r="U41" s="810"/>
      <c r="V41" s="810"/>
      <c r="W41" s="810">
        <v>24.8051949870671</v>
      </c>
      <c r="X41" s="810">
        <v>8.37919902112774</v>
      </c>
      <c r="Y41" s="810">
        <v>9.1620271351755</v>
      </c>
      <c r="Z41" s="810">
        <v>7.20583410250894</v>
      </c>
      <c r="AA41" s="810"/>
      <c r="AB41" s="810">
        <v>6.95114762268105</v>
      </c>
      <c r="AC41" s="810">
        <v>8.55163860175319</v>
      </c>
      <c r="AD41" s="810">
        <v>8.09117513531687</v>
      </c>
      <c r="AE41" s="810">
        <v>8.88239670051552</v>
      </c>
      <c r="AF41" s="810">
        <v>8.98006223859083</v>
      </c>
      <c r="AG41" s="810"/>
      <c r="AH41" s="810"/>
      <c r="AI41" s="810">
        <v>7.51091427442904</v>
      </c>
      <c r="AJ41" s="8"/>
      <c r="AK41" s="340" t="str">
        <f t="shared" si="11"/>
        <v>3Q14</v>
      </c>
      <c r="AL41" s="933">
        <f t="shared" si="12"/>
        <v>20.1729330110765</v>
      </c>
      <c r="AM41" s="810">
        <v>9.99996107397703</v>
      </c>
      <c r="AN41" s="810">
        <v>9.85670908369511</v>
      </c>
      <c r="AO41" s="810">
        <v>9.66791056853068</v>
      </c>
      <c r="AP41" s="810">
        <v>9.42995169082126</v>
      </c>
      <c r="AQ41" s="934">
        <v>20.3891830018601</v>
      </c>
      <c r="AR41" s="933">
        <f t="shared" si="13"/>
        <v>18.4503436857937</v>
      </c>
      <c r="AS41" s="810">
        <v>10.1734261914516</v>
      </c>
      <c r="AT41" s="810">
        <v>8.23661855837225</v>
      </c>
      <c r="AU41" s="810">
        <v>9.65868263473054</v>
      </c>
      <c r="AV41" s="810">
        <v>8.90375551163144</v>
      </c>
      <c r="AW41" s="934">
        <v>7.27378190255221</v>
      </c>
      <c r="AX41" s="933">
        <f t="shared" si="14"/>
        <v>8.37919902112774</v>
      </c>
      <c r="AY41" s="810">
        <v>5.57867980886728</v>
      </c>
      <c r="AZ41" s="810">
        <v>6.34889563397409</v>
      </c>
      <c r="BA41" s="810">
        <v>6.10014357670282</v>
      </c>
      <c r="BB41" s="810">
        <v>5.74195406620974</v>
      </c>
      <c r="BC41" s="934">
        <v>4.55449762754802</v>
      </c>
      <c r="BD41" s="933">
        <f t="shared" si="20"/>
        <v>8.09117513531687</v>
      </c>
      <c r="BE41" s="810">
        <v>5.48624360801162</v>
      </c>
      <c r="BF41" s="810">
        <v>5.01723905576566</v>
      </c>
      <c r="BG41" s="810">
        <v>5.49481693377574</v>
      </c>
      <c r="BH41" s="810">
        <v>5.51320902779737</v>
      </c>
      <c r="BI41" s="934">
        <v>4.30941821783298</v>
      </c>
      <c r="BJ41" s="8"/>
      <c r="BK41" s="340" t="str">
        <f t="shared" si="15"/>
        <v>3Q14</v>
      </c>
      <c r="BL41" s="933">
        <f t="shared" si="16"/>
        <v>20.1729330110765</v>
      </c>
      <c r="BM41" s="810">
        <v>24.3601654723143</v>
      </c>
      <c r="BN41" s="810">
        <v>24.2652759456071</v>
      </c>
      <c r="BO41" s="810">
        <v>13.810354033387</v>
      </c>
      <c r="BP41" s="810">
        <v>12.5183083648824</v>
      </c>
      <c r="BQ41" s="934">
        <v>13.9457009277726</v>
      </c>
      <c r="BR41" s="933">
        <f t="shared" si="17"/>
        <v>18.4503436857937</v>
      </c>
      <c r="BS41" s="810">
        <v>18.8721332076657</v>
      </c>
      <c r="BT41" s="810">
        <v>13.2539871459176</v>
      </c>
      <c r="BU41" s="810">
        <v>12.7284161505969</v>
      </c>
      <c r="BV41" s="810">
        <v>14.9644201023031</v>
      </c>
      <c r="BW41" s="934">
        <v>13.9172384219554</v>
      </c>
      <c r="BX41" s="933">
        <f t="shared" si="18"/>
        <v>8.37919902112774</v>
      </c>
      <c r="BY41" s="810">
        <v>10.085262951603</v>
      </c>
      <c r="BZ41" s="810">
        <v>5.69241256770504</v>
      </c>
      <c r="CA41" s="810">
        <v>6.97192353485524</v>
      </c>
      <c r="CB41" s="810">
        <v>9.34802359765625</v>
      </c>
      <c r="CC41" s="934">
        <v>8.30648684877004</v>
      </c>
      <c r="CD41" s="933">
        <f t="shared" si="21"/>
        <v>8.09117513531687</v>
      </c>
      <c r="CE41" s="810">
        <v>8.86619078776349</v>
      </c>
      <c r="CF41" s="810">
        <v>6.44518685988233</v>
      </c>
      <c r="CG41" s="810">
        <v>6.05585644966015</v>
      </c>
      <c r="CH41" s="810">
        <v>8.02558484769993</v>
      </c>
      <c r="CI41" s="934">
        <v>7.91463424216468</v>
      </c>
    </row>
    <row r="42" ht="14.25" customHeight="1" spans="1:87" x14ac:dyDescent="0.25">
      <c r="A42" s="8"/>
      <c r="B42" s="8"/>
      <c r="C42" s="8" t="s">
        <v>1063</v>
      </c>
      <c r="D42" s="8"/>
      <c r="E42" s="753">
        <f>AVERAGE(M8:Q19)</f>
        <v>41.292693928348704</v>
      </c>
      <c r="F42" s="753">
        <f>AVERAGE(S8:W19)</f>
        <v>42.67307123133125</v>
      </c>
      <c r="G42" s="753">
        <f>AVERAGE(Y8:AC19)</f>
        <v>7.713737383293697</v>
      </c>
      <c r="H42" s="753">
        <f>AVERAGE(AE8:AI19)</f>
        <v>7.00763621761007</v>
      </c>
      <c r="I42" s="75">
        <v>3</v>
      </c>
      <c r="J42" s="7">
        <v>2014</v>
      </c>
      <c r="K42" s="340" t="s">
        <v>1092</v>
      </c>
      <c r="L42" s="933">
        <v>20.2844867772864</v>
      </c>
      <c r="M42" s="810">
        <v>23.7393555680862</v>
      </c>
      <c r="N42" s="810">
        <v>16.4035372701225</v>
      </c>
      <c r="O42" s="810"/>
      <c r="P42" s="810"/>
      <c r="Q42" s="810">
        <v>43.6948471907987</v>
      </c>
      <c r="R42" s="810">
        <v>19.6022727272727</v>
      </c>
      <c r="S42" s="810">
        <v>20.1072935503315</v>
      </c>
      <c r="T42" s="810">
        <v>21.6014693647809</v>
      </c>
      <c r="U42" s="810"/>
      <c r="V42" s="810"/>
      <c r="W42" s="810">
        <v>26.5131578947368</v>
      </c>
      <c r="X42" s="810">
        <v>8.51935888936393</v>
      </c>
      <c r="Y42" s="810">
        <v>9.66261545770501</v>
      </c>
      <c r="Z42" s="810">
        <v>7.70339675634514</v>
      </c>
      <c r="AA42" s="810"/>
      <c r="AB42" s="810">
        <v>7.03590968949464</v>
      </c>
      <c r="AC42" s="810">
        <v>7.72071816254883</v>
      </c>
      <c r="AD42" s="810">
        <v>8.29079640422342</v>
      </c>
      <c r="AE42" s="810">
        <v>9.37826308721175</v>
      </c>
      <c r="AF42" s="810">
        <v>9.64324660220303</v>
      </c>
      <c r="AG42" s="810"/>
      <c r="AH42" s="810">
        <v>6.31300315715235</v>
      </c>
      <c r="AI42" s="810">
        <v>7.31856695883386</v>
      </c>
      <c r="AJ42" s="8"/>
      <c r="AK42" s="340" t="str">
        <f t="shared" si="11"/>
        <v>4Q14</v>
      </c>
      <c r="AL42" s="933">
        <f t="shared" si="12"/>
        <v>20.2844867772864</v>
      </c>
      <c r="AM42" s="810">
        <v>9.62040432691451</v>
      </c>
      <c r="AN42" s="810">
        <v>10.3691488431885</v>
      </c>
      <c r="AO42" s="810">
        <v>9.12142389198446</v>
      </c>
      <c r="AP42" s="810">
        <v>10.0015923566879</v>
      </c>
      <c r="AQ42" s="934">
        <v>22.2622562728443</v>
      </c>
      <c r="AR42" s="933">
        <f t="shared" si="13"/>
        <v>19.6022727272727</v>
      </c>
      <c r="AS42" s="810">
        <v>9.74169741697417</v>
      </c>
      <c r="AT42" s="810">
        <v>8.02132070541053</v>
      </c>
      <c r="AU42" s="810">
        <v>10.8368895211</v>
      </c>
      <c r="AV42" s="810">
        <v>9.42244224422442</v>
      </c>
      <c r="AW42" s="934">
        <v>7.97902097902098</v>
      </c>
      <c r="AX42" s="933">
        <f t="shared" si="14"/>
        <v>8.51935888936393</v>
      </c>
      <c r="AY42" s="810">
        <v>5.46947202107553</v>
      </c>
      <c r="AZ42" s="810">
        <v>6.54580673361049</v>
      </c>
      <c r="BA42" s="810">
        <v>5.76122459373739</v>
      </c>
      <c r="BB42" s="810">
        <v>6.03174555515099</v>
      </c>
      <c r="BC42" s="934">
        <v>4.92733810453777</v>
      </c>
      <c r="BD42" s="933">
        <f t="shared" si="20"/>
        <v>8.29079640422342</v>
      </c>
      <c r="BE42" s="810">
        <v>5.24216521595774</v>
      </c>
      <c r="BF42" s="810">
        <v>5.25786728179236</v>
      </c>
      <c r="BG42" s="810">
        <v>5.75195786783777</v>
      </c>
      <c r="BH42" s="810">
        <v>5.80837472527022</v>
      </c>
      <c r="BI42" s="934">
        <v>4.63549621133982</v>
      </c>
      <c r="BJ42" s="8"/>
      <c r="BK42" s="340" t="str">
        <f t="shared" si="15"/>
        <v>4Q14</v>
      </c>
      <c r="BL42" s="933">
        <f t="shared" si="16"/>
        <v>20.2844867772864</v>
      </c>
      <c r="BM42" s="810">
        <v>24.1651089979097</v>
      </c>
      <c r="BN42" s="810">
        <v>25.4241271250078</v>
      </c>
      <c r="BO42" s="810">
        <v>14.8512626154585</v>
      </c>
      <c r="BP42" s="810">
        <v>14.0012354399375</v>
      </c>
      <c r="BQ42" s="934">
        <v>14.8656322568568</v>
      </c>
      <c r="BR42" s="933">
        <f t="shared" si="17"/>
        <v>19.6022727272727</v>
      </c>
      <c r="BS42" s="810">
        <v>20.9981318388044</v>
      </c>
      <c r="BT42" s="810">
        <v>15.5793703951775</v>
      </c>
      <c r="BU42" s="810">
        <v>14.0344431716083</v>
      </c>
      <c r="BV42" s="810">
        <v>16.625988505336</v>
      </c>
      <c r="BW42" s="934">
        <v>15.0974989402289</v>
      </c>
      <c r="BX42" s="933">
        <f t="shared" si="18"/>
        <v>8.51935888936393</v>
      </c>
      <c r="BY42" s="810">
        <v>10.6384200202094</v>
      </c>
      <c r="BZ42" s="810">
        <v>6.7226025644169</v>
      </c>
      <c r="CA42" s="810">
        <v>7.2666825847505</v>
      </c>
      <c r="CB42" s="810">
        <v>10.3942191863169</v>
      </c>
      <c r="CC42" s="934">
        <v>8.7331252074087</v>
      </c>
      <c r="CD42" s="933">
        <f t="shared" si="21"/>
        <v>8.29079640422342</v>
      </c>
      <c r="CE42" s="810">
        <v>9.94026232129299</v>
      </c>
      <c r="CF42" s="810">
        <v>7.97901468449838</v>
      </c>
      <c r="CG42" s="810">
        <v>6.45567601185599</v>
      </c>
      <c r="CH42" s="810">
        <v>8.65400002064891</v>
      </c>
      <c r="CI42" s="934">
        <v>8.35655127966832</v>
      </c>
    </row>
    <row r="43" ht="14.25" customHeight="1" spans="1:87" x14ac:dyDescent="0.25">
      <c r="A43" s="8"/>
      <c r="B43" s="8"/>
      <c r="C43" s="8" t="s">
        <v>1065</v>
      </c>
      <c r="D43" s="8"/>
      <c r="E43" s="753">
        <f>AVERAGE(M16:Q27)</f>
        <v>17.24809635627171</v>
      </c>
      <c r="F43" s="753">
        <f>AVERAGE(S16:W27)</f>
        <v>21.752887916585923</v>
      </c>
      <c r="G43" s="753">
        <f>AVERAGE(Y16:AC27)</f>
        <v>7.071574405590105</v>
      </c>
      <c r="H43" s="753">
        <f>AVERAGE(AE16:AI27)</f>
        <v>6.419541067853441</v>
      </c>
      <c r="I43" s="75">
        <v>4</v>
      </c>
      <c r="J43" s="7">
        <v>2014</v>
      </c>
      <c r="K43" s="340" t="s">
        <v>1093</v>
      </c>
      <c r="L43" s="933">
        <v>20.7495413717002</v>
      </c>
      <c r="M43" s="810">
        <v>22.2909488800268</v>
      </c>
      <c r="N43" s="810">
        <v>15.5244974780751</v>
      </c>
      <c r="O43" s="810"/>
      <c r="P43" s="810"/>
      <c r="Q43" s="810">
        <v>32.1495162001741</v>
      </c>
      <c r="R43" s="810">
        <v>19.6419577001564</v>
      </c>
      <c r="S43" s="810">
        <v>21.2004695043887</v>
      </c>
      <c r="T43" s="810">
        <v>22.0133327730143</v>
      </c>
      <c r="U43" s="810"/>
      <c r="V43" s="810"/>
      <c r="W43" s="810">
        <v>28.8030501027462</v>
      </c>
      <c r="X43" s="810">
        <v>8.63254843467523</v>
      </c>
      <c r="Y43" s="810">
        <v>9.38402948237809</v>
      </c>
      <c r="Z43" s="810">
        <v>7.66084732850184</v>
      </c>
      <c r="AA43" s="810"/>
      <c r="AB43" s="810">
        <v>7.65812404667694</v>
      </c>
      <c r="AC43" s="810">
        <v>8.65225913734994</v>
      </c>
      <c r="AD43" s="810">
        <v>8.23491706512728</v>
      </c>
      <c r="AE43" s="810">
        <v>9.25123793593635</v>
      </c>
      <c r="AF43" s="810">
        <v>10.1839662550788</v>
      </c>
      <c r="AG43" s="810"/>
      <c r="AH43" s="810">
        <v>9.67185199724531</v>
      </c>
      <c r="AI43" s="810">
        <v>8.19112296730393</v>
      </c>
      <c r="AJ43" s="8"/>
      <c r="AK43" s="340" t="str">
        <f t="shared" si="11"/>
        <v>1Q15</v>
      </c>
      <c r="AL43" s="933">
        <f t="shared" si="12"/>
        <v>20.7495413717002</v>
      </c>
      <c r="AM43" s="810">
        <v>9.06200062426827</v>
      </c>
      <c r="AN43" s="810">
        <v>9.63178918427491</v>
      </c>
      <c r="AO43" s="810">
        <v>8.89285662197338</v>
      </c>
      <c r="AP43" s="810">
        <v>10.389458272328</v>
      </c>
      <c r="AQ43" s="934">
        <v>11.8536611648916</v>
      </c>
      <c r="AR43" s="933">
        <f t="shared" si="13"/>
        <v>19.6419577001564</v>
      </c>
      <c r="AS43" s="810">
        <v>9.99142489638416</v>
      </c>
      <c r="AT43" s="810">
        <v>8.83315562332782</v>
      </c>
      <c r="AU43" s="810">
        <v>10.0892662747659</v>
      </c>
      <c r="AV43" s="810">
        <v>10.5048112509252</v>
      </c>
      <c r="AW43" s="934">
        <v>7.80141843971631</v>
      </c>
      <c r="AX43" s="933">
        <f t="shared" si="14"/>
        <v>8.63254843467523</v>
      </c>
      <c r="AY43" s="810">
        <v>5.37935561442249</v>
      </c>
      <c r="AZ43" s="810">
        <v>5.89533430770612</v>
      </c>
      <c r="BA43" s="810">
        <v>5.61642635813002</v>
      </c>
      <c r="BB43" s="810">
        <v>6.0688318330818</v>
      </c>
      <c r="BC43" s="934">
        <v>4.64361067804519</v>
      </c>
      <c r="BD43" s="933">
        <f t="shared" si="20"/>
        <v>8.23491706512728</v>
      </c>
      <c r="BE43" s="810">
        <v>5.48536072155875</v>
      </c>
      <c r="BF43" s="810">
        <v>5.31834143798385</v>
      </c>
      <c r="BG43" s="810">
        <v>5.78754811440326</v>
      </c>
      <c r="BH43" s="810">
        <v>6.12172221106844</v>
      </c>
      <c r="BI43" s="934">
        <v>4.12038909541942</v>
      </c>
      <c r="BJ43" s="8"/>
      <c r="BK43" s="340" t="str">
        <f t="shared" si="15"/>
        <v>1Q15</v>
      </c>
      <c r="BL43" s="933">
        <f t="shared" si="16"/>
        <v>20.7495413717002</v>
      </c>
      <c r="BM43" s="810">
        <v>21.6053469427488</v>
      </c>
      <c r="BN43" s="810">
        <v>18.758399494054</v>
      </c>
      <c r="BO43" s="810">
        <v>15.2439619136967</v>
      </c>
      <c r="BP43" s="810">
        <v>16.7696200950246</v>
      </c>
      <c r="BQ43" s="934">
        <v>15.9786464227176</v>
      </c>
      <c r="BR43" s="933">
        <f t="shared" si="17"/>
        <v>19.6419577001564</v>
      </c>
      <c r="BS43" s="810">
        <v>23.4384384384384</v>
      </c>
      <c r="BT43" s="810">
        <v>15.297476515012</v>
      </c>
      <c r="BU43" s="810">
        <v>15.6835754736842</v>
      </c>
      <c r="BV43" s="810">
        <v>16.8976459259003</v>
      </c>
      <c r="BW43" s="934">
        <v>16.6744333827579</v>
      </c>
      <c r="BX43" s="933">
        <f t="shared" si="18"/>
        <v>8.63254843467523</v>
      </c>
      <c r="BY43" s="810">
        <v>10.1400009753533</v>
      </c>
      <c r="BZ43" s="810">
        <v>11.1988774428578</v>
      </c>
      <c r="CA43" s="810">
        <v>7.68797062316564</v>
      </c>
      <c r="CB43" s="810">
        <v>11.3236402907469</v>
      </c>
      <c r="CC43" s="934">
        <v>9.44621815527045</v>
      </c>
      <c r="CD43" s="933">
        <f t="shared" si="21"/>
        <v>8.23491706512728</v>
      </c>
      <c r="CE43" s="810">
        <v>11.0350072347685</v>
      </c>
      <c r="CF43" s="810">
        <v>12.8452543560021</v>
      </c>
      <c r="CG43" s="810">
        <v>6.94898491531654</v>
      </c>
      <c r="CH43" s="810">
        <v>10.3703628458668</v>
      </c>
      <c r="CI43" s="934">
        <v>9.12801964987489</v>
      </c>
    </row>
    <row r="44" ht="14.25" customHeight="1" spans="1:87" x14ac:dyDescent="0.25">
      <c r="A44" s="257"/>
      <c r="B44" s="8"/>
      <c r="C44" s="8" t="s">
        <v>1067</v>
      </c>
      <c r="D44" s="8"/>
      <c r="E44" s="753">
        <f>AVERAGE(M24:Q35)</f>
        <v>18.026383369793837</v>
      </c>
      <c r="F44" s="753">
        <f>AVERAGE(S24:W35)</f>
        <v>18.967968562150546</v>
      </c>
      <c r="G44" s="753">
        <f>AVERAGE(Y24:AC35)</f>
        <v>7.763655333325235</v>
      </c>
      <c r="H44" s="753">
        <f>AVERAGE(AE24:AI35)</f>
        <v>6.899793788761925</v>
      </c>
      <c r="I44" s="75">
        <v>1</v>
      </c>
      <c r="J44" s="7">
        <v>2015</v>
      </c>
      <c r="K44" s="340" t="s">
        <v>1094</v>
      </c>
      <c r="L44" s="933">
        <v>19.4827641948873</v>
      </c>
      <c r="M44" s="810">
        <v>21.5415275104129</v>
      </c>
      <c r="N44" s="810">
        <v>13.9144057171676</v>
      </c>
      <c r="O44" s="810"/>
      <c r="P44" s="810"/>
      <c r="Q44" s="810">
        <v>67.6551826589217</v>
      </c>
      <c r="R44" s="810">
        <v>18.5544085405929</v>
      </c>
      <c r="S44" s="810">
        <v>17.8728234306933</v>
      </c>
      <c r="T44" s="810">
        <v>19.4021549907751</v>
      </c>
      <c r="U44" s="810"/>
      <c r="V44" s="810"/>
      <c r="W44" s="810">
        <v>26.5772267502788</v>
      </c>
      <c r="X44" s="810">
        <v>8.41211928146418</v>
      </c>
      <c r="Y44" s="810">
        <v>8.67982058508624</v>
      </c>
      <c r="Z44" s="810">
        <v>7.14783551844201</v>
      </c>
      <c r="AA44" s="810"/>
      <c r="AB44" s="810">
        <v>9.54253961411073</v>
      </c>
      <c r="AC44" s="810">
        <v>8.70967281866274</v>
      </c>
      <c r="AD44" s="810">
        <v>8.05480511109247</v>
      </c>
      <c r="AE44" s="810">
        <v>8.53981107368288</v>
      </c>
      <c r="AF44" s="810">
        <v>9.54028112015837</v>
      </c>
      <c r="AG44" s="810"/>
      <c r="AH44" s="810">
        <v>8.79056263419369</v>
      </c>
      <c r="AI44" s="810">
        <v>7.83719258203385</v>
      </c>
      <c r="AJ44" s="8"/>
      <c r="AK44" s="340" t="str">
        <f t="shared" si="11"/>
        <v>2Q15</v>
      </c>
      <c r="AL44" s="933">
        <f t="shared" si="12"/>
        <v>19.4827641948873</v>
      </c>
      <c r="AM44" s="810">
        <v>10.5091692501708</v>
      </c>
      <c r="AN44" s="810">
        <v>9.75066381791588</v>
      </c>
      <c r="AO44" s="810">
        <v>9.76218421147574</v>
      </c>
      <c r="AP44" s="810">
        <v>11.2093704245974</v>
      </c>
      <c r="AQ44" s="934">
        <v>11.670468219616</v>
      </c>
      <c r="AR44" s="933">
        <f t="shared" si="13"/>
        <v>18.5544085405929</v>
      </c>
      <c r="AS44" s="810">
        <v>11.5301878674889</v>
      </c>
      <c r="AT44" s="810">
        <v>9.29450125981918</v>
      </c>
      <c r="AU44" s="810">
        <v>10.174</v>
      </c>
      <c r="AV44" s="810">
        <v>10.7061949377709</v>
      </c>
      <c r="AW44" s="934">
        <v>7.75417661097852</v>
      </c>
      <c r="AX44" s="933">
        <f t="shared" si="14"/>
        <v>8.41211928146418</v>
      </c>
      <c r="AY44" s="810">
        <v>5.7719211459489</v>
      </c>
      <c r="AZ44" s="810">
        <v>5.19886979324506</v>
      </c>
      <c r="BA44" s="810">
        <v>6.08048688220001</v>
      </c>
      <c r="BB44" s="810">
        <v>6.46307310037609</v>
      </c>
      <c r="BC44" s="934">
        <v>4.57502620920203</v>
      </c>
      <c r="BD44" s="933">
        <f t="shared" si="20"/>
        <v>8.05480511109247</v>
      </c>
      <c r="BE44" s="810">
        <v>6.27598014282426</v>
      </c>
      <c r="BF44" s="810">
        <v>4.62767057952832</v>
      </c>
      <c r="BG44" s="810">
        <v>5.70927463609689</v>
      </c>
      <c r="BH44" s="810">
        <v>6.36502714720231</v>
      </c>
      <c r="BI44" s="934">
        <v>4.16147661595403</v>
      </c>
      <c r="BJ44" s="8"/>
      <c r="BK44" s="340" t="str">
        <f t="shared" si="15"/>
        <v>2Q15</v>
      </c>
      <c r="BL44" s="933">
        <f t="shared" si="16"/>
        <v>19.4827641948873</v>
      </c>
      <c r="BM44" s="810">
        <v>19.5893812359237</v>
      </c>
      <c r="BN44" s="810">
        <v>19.1582548172462</v>
      </c>
      <c r="BO44" s="810">
        <v>15.8492421790324</v>
      </c>
      <c r="BP44" s="810">
        <v>17.5627157944909</v>
      </c>
      <c r="BQ44" s="934">
        <v>16.7394614065933</v>
      </c>
      <c r="BR44" s="933">
        <f t="shared" si="17"/>
        <v>18.5544085405929</v>
      </c>
      <c r="BS44" s="810">
        <v>17.939423231835</v>
      </c>
      <c r="BT44" s="810">
        <v>15.6957719099303</v>
      </c>
      <c r="BU44" s="810">
        <v>14.3829034104478</v>
      </c>
      <c r="BV44" s="810">
        <v>14.8263081664242</v>
      </c>
      <c r="BW44" s="934">
        <v>15.7693740685544</v>
      </c>
      <c r="BX44" s="933">
        <f t="shared" si="18"/>
        <v>8.41211928146418</v>
      </c>
      <c r="BY44" s="810">
        <v>9.60840326774442</v>
      </c>
      <c r="BZ44" s="810">
        <v>8.16922604900108</v>
      </c>
      <c r="CA44" s="810">
        <v>8.18729190293281</v>
      </c>
      <c r="CB44" s="810">
        <v>12.1352364269548</v>
      </c>
      <c r="CC44" s="934">
        <v>9.8779039587798</v>
      </c>
      <c r="CD44" s="933">
        <f t="shared" si="21"/>
        <v>8.05480511109247</v>
      </c>
      <c r="CE44" s="810">
        <v>8.92820985953084</v>
      </c>
      <c r="CF44" s="810">
        <v>9.19884162373248</v>
      </c>
      <c r="CG44" s="810">
        <v>6.32416201011649</v>
      </c>
      <c r="CH44" s="810">
        <v>8.8863638105699</v>
      </c>
      <c r="CI44" s="934">
        <v>8.84993577634552</v>
      </c>
    </row>
    <row r="45" ht="14.25" customHeight="1" spans="1:87" x14ac:dyDescent="0.25">
      <c r="A45" s="8"/>
      <c r="B45" s="8"/>
      <c r="C45" s="8" t="s">
        <v>1069</v>
      </c>
      <c r="D45" s="8"/>
      <c r="E45" s="753">
        <f>AVERAGE(M36:Q75)</f>
        <v>49.35971058163798</v>
      </c>
      <c r="F45" s="753">
        <f>AVERAGE(S36:W75)</f>
        <v>44.97421029614154</v>
      </c>
      <c r="G45" s="753">
        <f>AVERAGE(Y36:AC75)</f>
        <v>12.853142610045712</v>
      </c>
      <c r="H45" s="753">
        <f>AVERAGE(AE36:AI75)</f>
        <v>11.802691452469858</v>
      </c>
      <c r="I45" s="75">
        <v>2</v>
      </c>
      <c r="J45" s="7">
        <v>2015</v>
      </c>
      <c r="K45" s="340" t="s">
        <v>1095</v>
      </c>
      <c r="L45" s="933">
        <v>20.0927093214078</v>
      </c>
      <c r="M45" s="810">
        <v>20.8041486337593</v>
      </c>
      <c r="N45" s="810">
        <v>13.9165881939179</v>
      </c>
      <c r="O45" s="810"/>
      <c r="P45" s="810"/>
      <c r="Q45" s="810">
        <v>43.7109687988977</v>
      </c>
      <c r="R45" s="810">
        <v>18.9480437607978</v>
      </c>
      <c r="S45" s="810">
        <v>18.4881271382008</v>
      </c>
      <c r="T45" s="810">
        <v>18.9685285820811</v>
      </c>
      <c r="U45" s="810"/>
      <c r="V45" s="810"/>
      <c r="W45" s="810">
        <v>21.7906404494601</v>
      </c>
      <c r="X45" s="810">
        <v>8.58411781665339</v>
      </c>
      <c r="Y45" s="810">
        <v>9.25681187641515</v>
      </c>
      <c r="Z45" s="810">
        <v>6.83657093175589</v>
      </c>
      <c r="AA45" s="810"/>
      <c r="AB45" s="810">
        <v>9.26129270519381</v>
      </c>
      <c r="AC45" s="810">
        <v>7.26290230489424</v>
      </c>
      <c r="AD45" s="810">
        <v>8.20456690165515</v>
      </c>
      <c r="AE45" s="810">
        <v>8.80576060620092</v>
      </c>
      <c r="AF45" s="810">
        <v>9.11745013665679</v>
      </c>
      <c r="AG45" s="810"/>
      <c r="AH45" s="810">
        <v>7.55486098118066</v>
      </c>
      <c r="AI45" s="810">
        <v>6.79690257916209</v>
      </c>
      <c r="AJ45" s="8"/>
      <c r="AK45" s="340" t="str">
        <f t="shared" si="11"/>
        <v>3Q15</v>
      </c>
      <c r="AL45" s="933">
        <f t="shared" si="12"/>
        <v>20.0927093214078</v>
      </c>
      <c r="AM45" s="810">
        <v>10.3602506215894</v>
      </c>
      <c r="AN45" s="810">
        <v>10.610981378837</v>
      </c>
      <c r="AO45" s="810">
        <v>9.78501046318922</v>
      </c>
      <c r="AP45" s="810">
        <v>10.7532467532468</v>
      </c>
      <c r="AQ45" s="934">
        <v>11.911217487238</v>
      </c>
      <c r="AR45" s="933">
        <f t="shared" si="13"/>
        <v>18.9480437607978</v>
      </c>
      <c r="AS45" s="810">
        <v>11.1498209859543</v>
      </c>
      <c r="AT45" s="810">
        <v>10.333780360602</v>
      </c>
      <c r="AU45" s="810">
        <v>10.1321138211382</v>
      </c>
      <c r="AV45" s="810">
        <v>10.4574796519787</v>
      </c>
      <c r="AW45" s="934">
        <v>7.73058252427184</v>
      </c>
      <c r="AX45" s="933">
        <f t="shared" si="14"/>
        <v>8.58411781665339</v>
      </c>
      <c r="AY45" s="810">
        <v>5.9342711326619</v>
      </c>
      <c r="AZ45" s="810">
        <v>5.66188219786021</v>
      </c>
      <c r="BA45" s="810">
        <v>6.48128357458311</v>
      </c>
      <c r="BB45" s="810">
        <v>6.28518664402408</v>
      </c>
      <c r="BC45" s="934">
        <v>5.05828311740116</v>
      </c>
      <c r="BD45" s="933">
        <f t="shared" si="20"/>
        <v>8.20456690165515</v>
      </c>
      <c r="BE45" s="810">
        <v>6.38573615633208</v>
      </c>
      <c r="BF45" s="810">
        <v>5.46057925530489</v>
      </c>
      <c r="BG45" s="810">
        <v>6.03688149144837</v>
      </c>
      <c r="BH45" s="810">
        <v>6.25303430168215</v>
      </c>
      <c r="BI45" s="934">
        <v>4.43980479601535</v>
      </c>
      <c r="BJ45" s="8"/>
      <c r="BK45" s="340" t="str">
        <f t="shared" si="15"/>
        <v>3Q15</v>
      </c>
      <c r="BL45" s="933">
        <f t="shared" si="16"/>
        <v>20.0927093214078</v>
      </c>
      <c r="BM45" s="810">
        <v>16.68959147028</v>
      </c>
      <c r="BN45" s="810">
        <v>13.9808558081172</v>
      </c>
      <c r="BO45" s="810">
        <v>14.46875186873</v>
      </c>
      <c r="BP45" s="810">
        <v>16.2050489802576</v>
      </c>
      <c r="BQ45" s="934">
        <v>17.1849095098311</v>
      </c>
      <c r="BR45" s="933">
        <f t="shared" si="17"/>
        <v>18.9480437607978</v>
      </c>
      <c r="BS45" s="810">
        <v>15.2412312097351</v>
      </c>
      <c r="BT45" s="810">
        <v>12.9049929566442</v>
      </c>
      <c r="BU45" s="810">
        <v>13.1086054981923</v>
      </c>
      <c r="BV45" s="810">
        <v>14.3004348922704</v>
      </c>
      <c r="BW45" s="934">
        <v>16.252295262578</v>
      </c>
      <c r="BX45" s="933">
        <f t="shared" si="18"/>
        <v>8.58411781665339</v>
      </c>
      <c r="BY45" s="810">
        <v>8.36946250489108</v>
      </c>
      <c r="BZ45" s="810">
        <v>5.88717727923427</v>
      </c>
      <c r="CA45" s="810">
        <v>7.73022880757182</v>
      </c>
      <c r="CB45" s="810">
        <v>11.2146878954447</v>
      </c>
      <c r="CC45" s="934">
        <v>9.93992146414024</v>
      </c>
      <c r="CD45" s="933">
        <f t="shared" si="21"/>
        <v>8.20456690165515</v>
      </c>
      <c r="CE45" s="810">
        <v>7.78784011197483</v>
      </c>
      <c r="CF45" s="810">
        <v>7.09815111740564</v>
      </c>
      <c r="CG45" s="810">
        <v>6.0878290524665</v>
      </c>
      <c r="CH45" s="810">
        <v>8.44947361558363</v>
      </c>
      <c r="CI45" s="934">
        <v>9.14745418425886</v>
      </c>
    </row>
    <row r="46" ht="14.25" customHeight="1" spans="1:87" x14ac:dyDescent="0.25">
      <c r="A46" s="8"/>
      <c r="B46" s="8"/>
      <c r="C46" s="8" t="s">
        <v>1071</v>
      </c>
      <c r="D46" s="8"/>
      <c r="E46" s="753">
        <f>AVERAGE(M36:Q51)</f>
        <v>45.36176943442152</v>
      </c>
      <c r="F46" s="753">
        <f>AVERAGE(S36:W51)</f>
        <v>30.746058629325482</v>
      </c>
      <c r="G46" s="753">
        <f>AVERAGE(Y36:AC51)</f>
        <v>9.379422757572163</v>
      </c>
      <c r="H46" s="753">
        <f>AVERAGE(AE36:AI51)</f>
        <v>8.91268255325193</v>
      </c>
      <c r="I46" s="75">
        <v>3</v>
      </c>
      <c r="J46" s="7">
        <v>2015</v>
      </c>
      <c r="K46" s="340" t="s">
        <v>1096</v>
      </c>
      <c r="L46" s="933">
        <v>21.4167686628711</v>
      </c>
      <c r="M46" s="810">
        <v>20.8478435548444</v>
      </c>
      <c r="N46" s="810">
        <v>12.4213786141397</v>
      </c>
      <c r="O46" s="810"/>
      <c r="P46" s="810"/>
      <c r="Q46" s="810">
        <v>21.6385443520022</v>
      </c>
      <c r="R46" s="810">
        <v>20.3406288532676</v>
      </c>
      <c r="S46" s="810">
        <v>19.3322868872253</v>
      </c>
      <c r="T46" s="810">
        <v>18.3182254741338</v>
      </c>
      <c r="U46" s="810"/>
      <c r="V46" s="810"/>
      <c r="W46" s="810">
        <v>26.1538461538462</v>
      </c>
      <c r="X46" s="810">
        <v>8.86390435755323</v>
      </c>
      <c r="Y46" s="810">
        <v>9.69212361118408</v>
      </c>
      <c r="Z46" s="810">
        <v>6.41243336928184</v>
      </c>
      <c r="AA46" s="810"/>
      <c r="AB46" s="810">
        <v>7.95754891133496</v>
      </c>
      <c r="AC46" s="810">
        <v>6.76155479771166</v>
      </c>
      <c r="AD46" s="810">
        <v>8.52535904970367</v>
      </c>
      <c r="AE46" s="810">
        <v>9.11571137593839</v>
      </c>
      <c r="AF46" s="810">
        <v>8.82501396951218</v>
      </c>
      <c r="AG46" s="810"/>
      <c r="AH46" s="810">
        <v>6.81747464310507</v>
      </c>
      <c r="AI46" s="810">
        <v>7.10962343788757</v>
      </c>
      <c r="AJ46" s="8"/>
      <c r="AK46" s="340" t="str">
        <f t="shared" si="11"/>
        <v>4Q15</v>
      </c>
      <c r="AL46" s="933">
        <f t="shared" si="12"/>
        <v>21.4167686628711</v>
      </c>
      <c r="AM46" s="810">
        <v>9.04425371771246</v>
      </c>
      <c r="AN46" s="810">
        <v>7.57659154169478</v>
      </c>
      <c r="AO46" s="810">
        <v>7.88501727102388</v>
      </c>
      <c r="AP46" s="810">
        <v>7.99251241094299</v>
      </c>
      <c r="AQ46" s="934">
        <v>9.99644720357523</v>
      </c>
      <c r="AR46" s="933">
        <f t="shared" si="13"/>
        <v>20.3406288532676</v>
      </c>
      <c r="AS46" s="810">
        <v>9.68533333333333</v>
      </c>
      <c r="AT46" s="810">
        <v>7.58726003490401</v>
      </c>
      <c r="AU46" s="810">
        <v>8.15931323617489</v>
      </c>
      <c r="AV46" s="810">
        <v>7.91898663697105</v>
      </c>
      <c r="AW46" s="934">
        <v>6.6825</v>
      </c>
      <c r="AX46" s="933">
        <f t="shared" si="14"/>
        <v>8.86390435755323</v>
      </c>
      <c r="AY46" s="810">
        <v>5.17253288820194</v>
      </c>
      <c r="AZ46" s="810">
        <v>4.19984269413635</v>
      </c>
      <c r="BA46" s="810">
        <v>4.9072512661101</v>
      </c>
      <c r="BB46" s="810">
        <v>5.11248886371017</v>
      </c>
      <c r="BC46" s="934">
        <v>4.17560435412474</v>
      </c>
      <c r="BD46" s="933">
        <f t="shared" si="20"/>
        <v>8.52535904970367</v>
      </c>
      <c r="BE46" s="810">
        <v>5.73955958020657</v>
      </c>
      <c r="BF46" s="810">
        <v>4.13814087690871</v>
      </c>
      <c r="BG46" s="810">
        <v>5.1077271800271</v>
      </c>
      <c r="BH46" s="810">
        <v>5.11346710201057</v>
      </c>
      <c r="BI46" s="934">
        <v>3.80655337899628</v>
      </c>
      <c r="BJ46" s="8"/>
      <c r="BK46" s="340" t="str">
        <f t="shared" si="15"/>
        <v>4Q15</v>
      </c>
      <c r="BL46" s="933">
        <f t="shared" si="16"/>
        <v>21.4167686628711</v>
      </c>
      <c r="BM46" s="810">
        <v>10.518527508713</v>
      </c>
      <c r="BN46" s="810">
        <v>10.5037129820166</v>
      </c>
      <c r="BO46" s="810">
        <v>12.2308782324965</v>
      </c>
      <c r="BP46" s="810">
        <v>11.8037669920092</v>
      </c>
      <c r="BQ46" s="934">
        <v>13.3534736207215</v>
      </c>
      <c r="BR46" s="933">
        <f t="shared" si="17"/>
        <v>20.3406288532676</v>
      </c>
      <c r="BS46" s="810">
        <v>11.1121143717081</v>
      </c>
      <c r="BT46" s="810">
        <v>10.02484086322</v>
      </c>
      <c r="BU46" s="810">
        <v>10.586285316932</v>
      </c>
      <c r="BV46" s="810">
        <v>10.5668420137303</v>
      </c>
      <c r="BW46" s="934">
        <v>12.8911689263466</v>
      </c>
      <c r="BX46" s="933">
        <f t="shared" si="18"/>
        <v>8.86390435755323</v>
      </c>
      <c r="BY46" s="810">
        <v>6.2721458318025</v>
      </c>
      <c r="BZ46" s="810">
        <v>4.42812180634823</v>
      </c>
      <c r="CA46" s="810">
        <v>6.45564856024358</v>
      </c>
      <c r="CB46" s="810">
        <v>8.29363910369546</v>
      </c>
      <c r="CC46" s="934">
        <v>7.75376264505377</v>
      </c>
      <c r="CD46" s="933">
        <f t="shared" si="21"/>
        <v>8.52535904970367</v>
      </c>
      <c r="CE46" s="810">
        <v>6.19665638883915</v>
      </c>
      <c r="CF46" s="810">
        <v>5.63644248650866</v>
      </c>
      <c r="CG46" s="810">
        <v>5.04933041465077</v>
      </c>
      <c r="CH46" s="810">
        <v>6.59517977339049</v>
      </c>
      <c r="CI46" s="934">
        <v>7.20004497573731</v>
      </c>
    </row>
    <row r="47" ht="14.25" customHeight="1" spans="1:87" x14ac:dyDescent="0.25">
      <c r="A47" s="8"/>
      <c r="B47" s="8"/>
      <c r="C47" s="8" t="s">
        <v>1073</v>
      </c>
      <c r="D47" s="8"/>
      <c r="E47" s="753">
        <f>AVERAGE(M48:Q63)</f>
        <v>67.72923954869019</v>
      </c>
      <c r="F47" s="753">
        <f>AVERAGE(S48:W63)</f>
        <v>37.70027560926556</v>
      </c>
      <c r="G47" s="753">
        <f>AVERAGE(Y48:AC63)</f>
        <v>13.00551589597784</v>
      </c>
      <c r="H47" s="753">
        <f>AVERAGE(AE48:AI63)</f>
        <v>11.559162647171407</v>
      </c>
      <c r="I47" s="75">
        <v>4</v>
      </c>
      <c r="J47" s="7">
        <v>2015</v>
      </c>
      <c r="K47" s="340" t="s">
        <v>1097</v>
      </c>
      <c r="L47" s="933">
        <v>23.3147223297304</v>
      </c>
      <c r="M47" s="810">
        <v>22.7432525780826</v>
      </c>
      <c r="N47" s="810">
        <v>16.9378207709895</v>
      </c>
      <c r="O47" s="810"/>
      <c r="P47" s="810"/>
      <c r="Q47" s="810">
        <v>32.6851290612134</v>
      </c>
      <c r="R47" s="810">
        <v>21.7374325235159</v>
      </c>
      <c r="S47" s="810">
        <v>20.9296411417386</v>
      </c>
      <c r="T47" s="810">
        <v>24.6306256160057</v>
      </c>
      <c r="U47" s="810"/>
      <c r="V47" s="810"/>
      <c r="W47" s="810">
        <v>44.1938511541134</v>
      </c>
      <c r="X47" s="810">
        <v>9.35198999789681</v>
      </c>
      <c r="Y47" s="810">
        <v>10.26173523661</v>
      </c>
      <c r="Z47" s="810">
        <v>7.96627122262523</v>
      </c>
      <c r="AA47" s="810"/>
      <c r="AB47" s="810">
        <v>7.5071506198855</v>
      </c>
      <c r="AC47" s="810">
        <v>8.0537307927478</v>
      </c>
      <c r="AD47" s="810">
        <v>8.92819759526132</v>
      </c>
      <c r="AE47" s="810">
        <v>9.7215391228272</v>
      </c>
      <c r="AF47" s="810">
        <v>11.2032919247018</v>
      </c>
      <c r="AG47" s="810"/>
      <c r="AH47" s="810">
        <v>6.96081321271504</v>
      </c>
      <c r="AI47" s="810">
        <v>8.68167418931761</v>
      </c>
      <c r="AJ47" s="8"/>
      <c r="AK47" s="340" t="str">
        <f t="shared" si="11"/>
        <v>1Q16</v>
      </c>
      <c r="AL47" s="933">
        <f t="shared" si="12"/>
        <v>23.3147223297304</v>
      </c>
      <c r="AM47" s="810">
        <v>10.2927177685897</v>
      </c>
      <c r="AN47" s="810">
        <v>7.86693684375211</v>
      </c>
      <c r="AO47" s="810">
        <v>9.19345748111427</v>
      </c>
      <c r="AP47" s="810">
        <v>9.16962241204287</v>
      </c>
      <c r="AQ47" s="934">
        <v>7.68521613491045</v>
      </c>
      <c r="AR47" s="933">
        <f t="shared" si="13"/>
        <v>21.7374325235159</v>
      </c>
      <c r="AS47" s="810">
        <v>10.6363397317907</v>
      </c>
      <c r="AT47" s="810">
        <v>8.33998859098688</v>
      </c>
      <c r="AU47" s="810">
        <v>9.57830132647001</v>
      </c>
      <c r="AV47" s="810">
        <v>9.17265193370166</v>
      </c>
      <c r="AW47" s="934">
        <v>7.09203980099503</v>
      </c>
      <c r="AX47" s="933">
        <f t="shared" si="14"/>
        <v>9.35198999789681</v>
      </c>
      <c r="AY47" s="810">
        <v>5.07278733970358</v>
      </c>
      <c r="AZ47" s="810">
        <v>4.24756283297713</v>
      </c>
      <c r="BA47" s="810">
        <v>5.34768426856692</v>
      </c>
      <c r="BB47" s="810">
        <v>5.64292679516856</v>
      </c>
      <c r="BC47" s="934">
        <v>4.66421621992631</v>
      </c>
      <c r="BD47" s="933">
        <f t="shared" si="20"/>
        <v>8.92819759526132</v>
      </c>
      <c r="BE47" s="810">
        <v>6.07540150394393</v>
      </c>
      <c r="BF47" s="810">
        <v>4.65268102660666</v>
      </c>
      <c r="BG47" s="810">
        <v>5.46753756842904</v>
      </c>
      <c r="BH47" s="810">
        <v>5.31948909525611</v>
      </c>
      <c r="BI47" s="934">
        <v>4.19598269631482</v>
      </c>
      <c r="BJ47" s="8"/>
      <c r="BK47" s="340" t="str">
        <f t="shared" si="15"/>
        <v>1Q16</v>
      </c>
      <c r="BL47" s="933">
        <f t="shared" si="16"/>
        <v>23.3147223297304</v>
      </c>
      <c r="BM47" s="810">
        <v>11.136940235073</v>
      </c>
      <c r="BN47" s="810">
        <v>11.6666666666667</v>
      </c>
      <c r="BO47" s="810">
        <v>17.1928194605477</v>
      </c>
      <c r="BP47" s="810">
        <v>19.4974550891937</v>
      </c>
      <c r="BQ47" s="934">
        <v>13.7129944740891</v>
      </c>
      <c r="BR47" s="933">
        <f t="shared" si="17"/>
        <v>21.7374325235159</v>
      </c>
      <c r="BS47" s="810">
        <v>13.3372589430296</v>
      </c>
      <c r="BT47" s="810">
        <v>9.89889941131303</v>
      </c>
      <c r="BU47" s="810">
        <v>12.5756118144631</v>
      </c>
      <c r="BV47" s="810">
        <v>12.8358552339463</v>
      </c>
      <c r="BW47" s="934">
        <v>13.3302936348714</v>
      </c>
      <c r="BX47" s="933">
        <f t="shared" si="18"/>
        <v>9.35198999789681</v>
      </c>
      <c r="BY47" s="810">
        <v>6.85328618451584</v>
      </c>
      <c r="BZ47" s="810">
        <v>4.81163814208943</v>
      </c>
      <c r="CA47" s="810">
        <v>7.47677448960995</v>
      </c>
      <c r="CB47" s="810">
        <v>13.0253702514268</v>
      </c>
      <c r="CC47" s="934">
        <v>7.88061779049841</v>
      </c>
      <c r="CD47" s="933">
        <f t="shared" si="21"/>
        <v>8.92819759526132</v>
      </c>
      <c r="CE47" s="810">
        <v>5.85992946565517</v>
      </c>
      <c r="CF47" s="810">
        <v>5.4586822092923</v>
      </c>
      <c r="CG47" s="810">
        <v>6.43430463007913</v>
      </c>
      <c r="CH47" s="810">
        <v>7.21769284670727</v>
      </c>
      <c r="CI47" s="934">
        <v>6.87365323404273</v>
      </c>
    </row>
    <row r="48" ht="14.25" customHeight="1" spans="1:87" x14ac:dyDescent="0.25">
      <c r="A48" s="8"/>
      <c r="B48" s="8"/>
      <c r="C48" s="8" t="s">
        <v>1075</v>
      </c>
      <c r="D48" s="8"/>
      <c r="E48" s="753">
        <f>AVERAGE(M60:Q75)</f>
        <v>44.44248258288358</v>
      </c>
      <c r="F48" s="753">
        <f>AVERAGE(S60:W75)</f>
        <v>59.89288114639692</v>
      </c>
      <c r="G48" s="753">
        <f>AVERAGE(Y60:AC75)</f>
        <v>15.847376529395666</v>
      </c>
      <c r="H48" s="753">
        <f>AVERAGE(AE60:AI75)</f>
        <v>14.135581419902921</v>
      </c>
      <c r="I48" s="75">
        <v>1</v>
      </c>
      <c r="J48" s="7">
        <v>2016</v>
      </c>
      <c r="K48" s="340" t="s">
        <v>1098</v>
      </c>
      <c r="L48" s="933">
        <v>24.3281430766021</v>
      </c>
      <c r="M48" s="810">
        <v>26.2931638170834</v>
      </c>
      <c r="N48" s="810">
        <v>18.7718148065386</v>
      </c>
      <c r="O48" s="810"/>
      <c r="P48" s="810"/>
      <c r="Q48" s="810">
        <v>34.7496372327259</v>
      </c>
      <c r="R48" s="810">
        <v>22.7635352813536</v>
      </c>
      <c r="S48" s="810">
        <v>22.6907670873014</v>
      </c>
      <c r="T48" s="810">
        <v>26.6770554406822</v>
      </c>
      <c r="U48" s="810"/>
      <c r="V48" s="810">
        <v>248.274638553114</v>
      </c>
      <c r="W48" s="810">
        <v>50.4404745594023</v>
      </c>
      <c r="X48" s="810">
        <v>9.63308658145897</v>
      </c>
      <c r="Y48" s="810">
        <v>11.27444864161</v>
      </c>
      <c r="Z48" s="810">
        <v>20.7279541588909</v>
      </c>
      <c r="AA48" s="810"/>
      <c r="AB48" s="810">
        <v>7.54724469118442</v>
      </c>
      <c r="AC48" s="810">
        <v>8.71198823326746</v>
      </c>
      <c r="AD48" s="810">
        <v>9.24571482320639</v>
      </c>
      <c r="AE48" s="810">
        <v>10.5248187790506</v>
      </c>
      <c r="AF48" s="810">
        <v>12.3601146129757</v>
      </c>
      <c r="AG48" s="810"/>
      <c r="AH48" s="810">
        <v>7.13200951606891</v>
      </c>
      <c r="AI48" s="810">
        <v>8.98560696765121</v>
      </c>
      <c r="AJ48" s="8"/>
      <c r="AK48" s="340" t="str">
        <f t="shared" si="11"/>
        <v>2Q16</v>
      </c>
      <c r="AL48" s="933">
        <f t="shared" si="12"/>
        <v>24.3281430766021</v>
      </c>
      <c r="AM48" s="810">
        <v>10.8005768320536</v>
      </c>
      <c r="AN48" s="810">
        <v>7.90818529546226</v>
      </c>
      <c r="AO48" s="810">
        <v>9.5463149108266</v>
      </c>
      <c r="AP48" s="810">
        <v>10.2308964708008</v>
      </c>
      <c r="AQ48" s="934">
        <v>8.08416807737511</v>
      </c>
      <c r="AR48" s="933">
        <f t="shared" si="13"/>
        <v>22.7635352813536</v>
      </c>
      <c r="AS48" s="810">
        <v>11.4122428244856</v>
      </c>
      <c r="AT48" s="810">
        <v>9.2925604746691</v>
      </c>
      <c r="AU48" s="810">
        <v>10.414364640884</v>
      </c>
      <c r="AV48" s="810">
        <v>10.0027262813522</v>
      </c>
      <c r="AW48" s="934">
        <v>7.40493827160494</v>
      </c>
      <c r="AX48" s="933">
        <f t="shared" si="14"/>
        <v>9.63308658145897</v>
      </c>
      <c r="AY48" s="810">
        <v>5.45960287918951</v>
      </c>
      <c r="AZ48" s="810">
        <v>4.38531826368266</v>
      </c>
      <c r="BA48" s="810">
        <v>5.63891016583893</v>
      </c>
      <c r="BB48" s="810">
        <v>6.34456824794384</v>
      </c>
      <c r="BC48" s="934">
        <v>4.89789496193626</v>
      </c>
      <c r="BD48" s="933">
        <f t="shared" si="20"/>
        <v>9.24571482320639</v>
      </c>
      <c r="BE48" s="810">
        <v>6.72381189121008</v>
      </c>
      <c r="BF48" s="810">
        <v>5.03245583564808</v>
      </c>
      <c r="BG48" s="810">
        <v>6.03177403608887</v>
      </c>
      <c r="BH48" s="810">
        <v>6.08587259966105</v>
      </c>
      <c r="BI48" s="934">
        <v>4.49590768173475</v>
      </c>
      <c r="BJ48" s="8"/>
      <c r="BK48" s="340" t="str">
        <f t="shared" si="15"/>
        <v>2Q16</v>
      </c>
      <c r="BL48" s="933">
        <f t="shared" si="16"/>
        <v>24.3281430766021</v>
      </c>
      <c r="BM48" s="810">
        <v>12.2734575189388</v>
      </c>
      <c r="BN48" s="810">
        <v>12.0208023774146</v>
      </c>
      <c r="BO48" s="810">
        <v>18.8921422410501</v>
      </c>
      <c r="BP48" s="810">
        <v>20.5661114791311</v>
      </c>
      <c r="BQ48" s="934">
        <v>15.5022531910082</v>
      </c>
      <c r="BR48" s="933">
        <f t="shared" si="17"/>
        <v>22.7635352813536</v>
      </c>
      <c r="BS48" s="810">
        <v>11.1855507718156</v>
      </c>
      <c r="BT48" s="810">
        <v>10.1049213090182</v>
      </c>
      <c r="BU48" s="810">
        <v>12.5356176725146</v>
      </c>
      <c r="BV48" s="810">
        <v>13.0753090608726</v>
      </c>
      <c r="BW48" s="934">
        <v>15.0280847979706</v>
      </c>
      <c r="BX48" s="933">
        <f t="shared" si="18"/>
        <v>9.63308658145897</v>
      </c>
      <c r="BY48" s="810">
        <v>7.56652201636161</v>
      </c>
      <c r="BZ48" s="810">
        <v>5.69160000786954</v>
      </c>
      <c r="CA48" s="810">
        <v>8.57187044792342</v>
      </c>
      <c r="CB48" s="810">
        <v>13.8815772921564</v>
      </c>
      <c r="CC48" s="934">
        <v>8.77225038791144</v>
      </c>
      <c r="CD48" s="933">
        <f t="shared" si="21"/>
        <v>9.24571482320639</v>
      </c>
      <c r="CE48" s="810">
        <v>6.50489804620697</v>
      </c>
      <c r="CF48" s="810">
        <v>6.40484134479815</v>
      </c>
      <c r="CG48" s="810">
        <v>6.98060565859495</v>
      </c>
      <c r="CH48" s="810">
        <v>8.15894519046955</v>
      </c>
      <c r="CI48" s="934">
        <v>8.01958260038547</v>
      </c>
    </row>
    <row r="49" ht="14.25" customHeight="1" spans="1:87" x14ac:dyDescent="0.25">
      <c r="A49" s="8"/>
      <c r="B49" s="8"/>
      <c r="C49" s="8"/>
      <c r="D49" s="8"/>
      <c r="E49" s="8"/>
      <c r="F49" s="8"/>
      <c r="G49" s="8"/>
      <c r="H49" s="8"/>
      <c r="I49" s="75">
        <v>2</v>
      </c>
      <c r="J49" s="7">
        <v>2016</v>
      </c>
      <c r="K49" s="340" t="s">
        <v>1099</v>
      </c>
      <c r="L49" s="933">
        <v>23.891303802198</v>
      </c>
      <c r="M49" s="810">
        <v>23.954390479858</v>
      </c>
      <c r="N49" s="810">
        <v>21.5699215301191</v>
      </c>
      <c r="O49" s="810"/>
      <c r="P49" s="810"/>
      <c r="Q49" s="810">
        <v>50.0566501897729</v>
      </c>
      <c r="R49" s="810">
        <v>21.8357122535535</v>
      </c>
      <c r="S49" s="810">
        <v>20.9821592369172</v>
      </c>
      <c r="T49" s="810">
        <v>26.0294850532372</v>
      </c>
      <c r="U49" s="810"/>
      <c r="V49" s="810">
        <v>62.9710008202321</v>
      </c>
      <c r="W49" s="810">
        <v>49.9415541246598</v>
      </c>
      <c r="X49" s="810">
        <v>9.47460788864862</v>
      </c>
      <c r="Y49" s="810">
        <v>10.5162696156712</v>
      </c>
      <c r="Z49" s="810">
        <v>21.9917782761916</v>
      </c>
      <c r="AA49" s="810"/>
      <c r="AB49" s="810">
        <v>8.07562400513865</v>
      </c>
      <c r="AC49" s="810">
        <v>9.21981681585791</v>
      </c>
      <c r="AD49" s="810">
        <v>9.10047951649041</v>
      </c>
      <c r="AE49" s="810">
        <v>9.93819698181217</v>
      </c>
      <c r="AF49" s="810">
        <v>13.0262700033781</v>
      </c>
      <c r="AG49" s="810"/>
      <c r="AH49" s="810">
        <v>7.68783532237938</v>
      </c>
      <c r="AI49" s="810">
        <v>8.46774430407637</v>
      </c>
      <c r="AJ49" s="8"/>
      <c r="AK49" s="340" t="str">
        <f t="shared" si="11"/>
        <v>3Q16</v>
      </c>
      <c r="AL49" s="933">
        <f t="shared" si="12"/>
        <v>23.891303802198</v>
      </c>
      <c r="AM49" s="810">
        <v>10.1080216461171</v>
      </c>
      <c r="AN49" s="810">
        <v>8.18487580198375</v>
      </c>
      <c r="AO49" s="810">
        <v>9.8608863994173</v>
      </c>
      <c r="AP49" s="810">
        <v>9.13270838802435</v>
      </c>
      <c r="AQ49" s="934">
        <v>8.1531872577492</v>
      </c>
      <c r="AR49" s="933">
        <f t="shared" si="13"/>
        <v>21.8357122535535</v>
      </c>
      <c r="AS49" s="810">
        <v>11.0437539632213</v>
      </c>
      <c r="AT49" s="810">
        <v>9.24358788581365</v>
      </c>
      <c r="AU49" s="810">
        <v>10.886879569065</v>
      </c>
      <c r="AV49" s="810">
        <v>9.19559459082671</v>
      </c>
      <c r="AW49" s="934">
        <v>7.12592592592593</v>
      </c>
      <c r="AX49" s="933">
        <f t="shared" si="14"/>
        <v>9.47460788864862</v>
      </c>
      <c r="AY49" s="810">
        <v>5.09384229041825</v>
      </c>
      <c r="AZ49" s="810">
        <v>4.51621775796576</v>
      </c>
      <c r="BA49" s="810">
        <v>5.9616220191104</v>
      </c>
      <c r="BB49" s="810">
        <v>5.74067742761281</v>
      </c>
      <c r="BC49" s="934">
        <v>4.69190112304688</v>
      </c>
      <c r="BD49" s="933">
        <f t="shared" si="20"/>
        <v>9.10047951649041</v>
      </c>
      <c r="BE49" s="810">
        <v>6.36674768430075</v>
      </c>
      <c r="BF49" s="810">
        <v>4.98548193136238</v>
      </c>
      <c r="BG49" s="810">
        <v>6.42986450834854</v>
      </c>
      <c r="BH49" s="810">
        <v>5.61897147902472</v>
      </c>
      <c r="BI49" s="934">
        <v>4.2346854791345</v>
      </c>
      <c r="BJ49" s="8"/>
      <c r="BK49" s="340" t="str">
        <f t="shared" si="15"/>
        <v>3Q16</v>
      </c>
      <c r="BL49" s="933">
        <f t="shared" si="16"/>
        <v>23.891303802198</v>
      </c>
      <c r="BM49" s="810">
        <v>9.0476464984031</v>
      </c>
      <c r="BN49" s="810">
        <v>11.2008310249307</v>
      </c>
      <c r="BO49" s="810">
        <v>19.0565186308401</v>
      </c>
      <c r="BP49" s="810">
        <v>17.7444200779301</v>
      </c>
      <c r="BQ49" s="934">
        <v>13.557266662622</v>
      </c>
      <c r="BR49" s="933">
        <f t="shared" si="17"/>
        <v>21.8357122535535</v>
      </c>
      <c r="BS49" s="810">
        <v>8.73829371205104</v>
      </c>
      <c r="BT49" s="810">
        <v>9.80123621379227</v>
      </c>
      <c r="BU49" s="810">
        <v>12.9325236772111</v>
      </c>
      <c r="BV49" s="810">
        <v>11.7818741310035</v>
      </c>
      <c r="BW49" s="934">
        <v>13.7377228082939</v>
      </c>
      <c r="BX49" s="933">
        <f t="shared" si="18"/>
        <v>9.47460788864862</v>
      </c>
      <c r="BY49" s="810">
        <v>5.60872942522665</v>
      </c>
      <c r="BZ49" s="810">
        <v>4.98025707935359</v>
      </c>
      <c r="CA49" s="810">
        <v>9.22266505630733</v>
      </c>
      <c r="CB49" s="810">
        <v>12.458154399644</v>
      </c>
      <c r="CC49" s="934">
        <v>9.2789607868955</v>
      </c>
      <c r="CD49" s="933">
        <f t="shared" si="21"/>
        <v>9.10047951649041</v>
      </c>
      <c r="CE49" s="810">
        <v>5.27651474375429</v>
      </c>
      <c r="CF49" s="810">
        <v>5.61804636350975</v>
      </c>
      <c r="CG49" s="810">
        <v>8.32664327429542</v>
      </c>
      <c r="CH49" s="810">
        <v>7.46946887391111</v>
      </c>
      <c r="CI49" s="934">
        <v>8.6931720305652</v>
      </c>
    </row>
    <row r="50" ht="14.25" customHeight="1" spans="1:87" x14ac:dyDescent="0.25">
      <c r="A50" s="257" t="s">
        <v>3</v>
      </c>
      <c r="B50" s="8"/>
      <c r="C50" s="893" t="str">
        <f>Comparables!S89</f>
        <v>N/A</v>
      </c>
      <c r="D50" s="101"/>
      <c r="E50" s="101"/>
      <c r="F50" s="101"/>
      <c r="G50" s="101"/>
      <c r="H50" s="102"/>
      <c r="I50" s="75">
        <v>3</v>
      </c>
      <c r="J50" s="7">
        <v>2016</v>
      </c>
      <c r="K50" s="340" t="s">
        <v>1100</v>
      </c>
      <c r="L50" s="933">
        <v>26.851961675826</v>
      </c>
      <c r="M50" s="810">
        <v>25.6616348245502</v>
      </c>
      <c r="N50" s="810">
        <v>26.6640972204004</v>
      </c>
      <c r="O50" s="810"/>
      <c r="P50" s="810">
        <v>417.465603659972</v>
      </c>
      <c r="Q50" s="810">
        <v>119.451104466591</v>
      </c>
      <c r="R50" s="810">
        <v>24.2544791982994</v>
      </c>
      <c r="S50" s="810">
        <v>22.4683143219265</v>
      </c>
      <c r="T50" s="810">
        <v>26.2579351820915</v>
      </c>
      <c r="U50" s="810"/>
      <c r="V50" s="810">
        <v>32.8017621145375</v>
      </c>
      <c r="W50" s="810">
        <v>61.7570900123305</v>
      </c>
      <c r="X50" s="810">
        <v>10.3683925191341</v>
      </c>
      <c r="Y50" s="810">
        <v>11.1134515642343</v>
      </c>
      <c r="Z50" s="810">
        <v>18.8714306849538</v>
      </c>
      <c r="AA50" s="810"/>
      <c r="AB50" s="810">
        <v>8.50604039265725</v>
      </c>
      <c r="AC50" s="810">
        <v>11.4270470665746</v>
      </c>
      <c r="AD50" s="810">
        <v>9.80747383987127</v>
      </c>
      <c r="AE50" s="810">
        <v>10.4171676596197</v>
      </c>
      <c r="AF50" s="810">
        <v>12.5802664802651</v>
      </c>
      <c r="AG50" s="810"/>
      <c r="AH50" s="810">
        <v>8.17136262033027</v>
      </c>
      <c r="AI50" s="810">
        <v>9.60295215515</v>
      </c>
      <c r="AJ50" s="8"/>
      <c r="AK50" s="340" t="str">
        <f t="shared" si="11"/>
        <v>4Q16</v>
      </c>
      <c r="AL50" s="933">
        <f t="shared" si="12"/>
        <v>26.851961675826</v>
      </c>
      <c r="AM50" s="810">
        <v>10.6045068586335</v>
      </c>
      <c r="AN50" s="810">
        <v>8.56758558525328</v>
      </c>
      <c r="AO50" s="810">
        <v>9.80641929304912</v>
      </c>
      <c r="AP50" s="810">
        <v>9.34626997319944</v>
      </c>
      <c r="AQ50" s="934">
        <v>9.18434226435989</v>
      </c>
      <c r="AR50" s="933">
        <f t="shared" si="13"/>
        <v>24.2544791982994</v>
      </c>
      <c r="AS50" s="810">
        <v>11.5326664196616</v>
      </c>
      <c r="AT50" s="810">
        <v>9.20465567410281</v>
      </c>
      <c r="AU50" s="810">
        <v>10.7262150497279</v>
      </c>
      <c r="AV50" s="810">
        <v>9.3113645965357</v>
      </c>
      <c r="AW50" s="934">
        <v>8.02716049382716</v>
      </c>
      <c r="AX50" s="933">
        <f t="shared" si="14"/>
        <v>10.3683925191341</v>
      </c>
      <c r="AY50" s="810">
        <v>5.20991143288719</v>
      </c>
      <c r="AZ50" s="810">
        <v>4.63203413299972</v>
      </c>
      <c r="BA50" s="810">
        <v>5.67915444963531</v>
      </c>
      <c r="BB50" s="810">
        <v>5.66900012121866</v>
      </c>
      <c r="BC50" s="934">
        <v>5.23832863134496</v>
      </c>
      <c r="BD50" s="933">
        <f t="shared" si="20"/>
        <v>9.80747383987127</v>
      </c>
      <c r="BE50" s="810">
        <v>6.40014317784417</v>
      </c>
      <c r="BF50" s="810">
        <v>4.83632597350223</v>
      </c>
      <c r="BG50" s="810">
        <v>6.17153294639134</v>
      </c>
      <c r="BH50" s="810">
        <v>5.47483447978444</v>
      </c>
      <c r="BI50" s="934">
        <v>4.73882668145305</v>
      </c>
      <c r="BJ50" s="8"/>
      <c r="BK50" s="340" t="str">
        <f t="shared" si="15"/>
        <v>4Q16</v>
      </c>
      <c r="BL50" s="933">
        <f t="shared" si="16"/>
        <v>26.851961675826</v>
      </c>
      <c r="BM50" s="810">
        <v>8.7278773820466</v>
      </c>
      <c r="BN50" s="810">
        <v>10.9813581890812</v>
      </c>
      <c r="BO50" s="810">
        <v>18.6636395296049</v>
      </c>
      <c r="BP50" s="810">
        <v>17.1441961813853</v>
      </c>
      <c r="BQ50" s="934">
        <v>14.213143045327</v>
      </c>
      <c r="BR50" s="933">
        <f t="shared" si="17"/>
        <v>24.2544791982994</v>
      </c>
      <c r="BS50" s="810">
        <v>9.06829679595278</v>
      </c>
      <c r="BT50" s="810">
        <v>10.6098031648012</v>
      </c>
      <c r="BU50" s="810">
        <v>14.1845479493177</v>
      </c>
      <c r="BV50" s="810">
        <v>12.6292508009654</v>
      </c>
      <c r="BW50" s="934">
        <v>14.7355543007717</v>
      </c>
      <c r="BX50" s="933">
        <f t="shared" si="18"/>
        <v>10.3683925191341</v>
      </c>
      <c r="BY50" s="810">
        <v>5.20222161078648</v>
      </c>
      <c r="BZ50" s="810">
        <v>4.88940153984057</v>
      </c>
      <c r="CA50" s="810">
        <v>10.3988669282679</v>
      </c>
      <c r="CB50" s="810">
        <v>12.060953090903</v>
      </c>
      <c r="CC50" s="934">
        <v>10.4329188660323</v>
      </c>
      <c r="CD50" s="933">
        <f t="shared" si="21"/>
        <v>9.80747383987127</v>
      </c>
      <c r="CE50" s="810">
        <v>5.40052665911043</v>
      </c>
      <c r="CF50" s="810">
        <v>6.01212995806737</v>
      </c>
      <c r="CG50" s="810">
        <v>9.28148033731055</v>
      </c>
      <c r="CH50" s="810">
        <v>7.9211118503344</v>
      </c>
      <c r="CI50" s="934">
        <v>10.09882653422</v>
      </c>
    </row>
    <row r="51" ht="14.25" customHeight="1" spans="1:87" x14ac:dyDescent="0.25">
      <c r="A51" s="8"/>
      <c r="B51" s="8"/>
      <c r="C51" s="932" t="s">
        <v>1044</v>
      </c>
      <c r="D51" s="932"/>
      <c r="E51" s="932"/>
      <c r="F51" s="932"/>
      <c r="G51" s="932"/>
      <c r="H51" s="932"/>
      <c r="I51" s="75">
        <v>4</v>
      </c>
      <c r="J51" s="7">
        <v>2016</v>
      </c>
      <c r="K51" s="340" t="s">
        <v>1101</v>
      </c>
      <c r="L51" s="933">
        <v>28.4528464624428</v>
      </c>
      <c r="M51" s="810">
        <v>25.5718958832474</v>
      </c>
      <c r="N51" s="810">
        <v>39.20228548169</v>
      </c>
      <c r="O51" s="810"/>
      <c r="P51" s="810">
        <v>200.554331604008</v>
      </c>
      <c r="Q51" s="810">
        <v>403.061002652289</v>
      </c>
      <c r="R51" s="810">
        <v>25.9732142384717</v>
      </c>
      <c r="S51" s="810">
        <v>22.517801406225</v>
      </c>
      <c r="T51" s="810">
        <v>27.8513168706483</v>
      </c>
      <c r="U51" s="810"/>
      <c r="V51" s="810">
        <v>28.6636983442326</v>
      </c>
      <c r="W51" s="810">
        <v>69.0477707006369</v>
      </c>
      <c r="X51" s="810">
        <v>10.8917793460499</v>
      </c>
      <c r="Y51" s="810">
        <v>11.1996113893083</v>
      </c>
      <c r="Z51" s="810">
        <v>17.9321750952541</v>
      </c>
      <c r="AA51" s="810"/>
      <c r="AB51" s="810">
        <v>9.07818209473085</v>
      </c>
      <c r="AC51" s="810">
        <v>11.3200666026594</v>
      </c>
      <c r="AD51" s="810">
        <v>10.1851107827055</v>
      </c>
      <c r="AE51" s="810">
        <v>10.3735269332842</v>
      </c>
      <c r="AF51" s="810">
        <v>13.2994764166491</v>
      </c>
      <c r="AG51" s="810"/>
      <c r="AH51" s="810">
        <v>8.57183879667281</v>
      </c>
      <c r="AI51" s="810">
        <v>9.66077408222121</v>
      </c>
      <c r="AJ51" s="8"/>
      <c r="AK51" s="340" t="str">
        <f t="shared" si="11"/>
        <v>1Q17</v>
      </c>
      <c r="AL51" s="933">
        <f t="shared" si="12"/>
        <v>28.4528464624428</v>
      </c>
      <c r="AM51" s="810">
        <v>10.939313538814</v>
      </c>
      <c r="AN51" s="810">
        <v>8.65965505408376</v>
      </c>
      <c r="AO51" s="810">
        <v>10.0778388743355</v>
      </c>
      <c r="AP51" s="810">
        <v>10.9430778279215</v>
      </c>
      <c r="AQ51" s="934">
        <v>11.5336818429242</v>
      </c>
      <c r="AR51" s="933">
        <f t="shared" si="13"/>
        <v>25.9732142384717</v>
      </c>
      <c r="AS51" s="810">
        <v>10.9842894548917</v>
      </c>
      <c r="AT51" s="810">
        <v>9.13737155219037</v>
      </c>
      <c r="AU51" s="810">
        <v>10.4030363274896</v>
      </c>
      <c r="AV51" s="810">
        <v>9.9056199056199</v>
      </c>
      <c r="AW51" s="934">
        <v>8.48614609571788</v>
      </c>
      <c r="AX51" s="933">
        <f t="shared" si="14"/>
        <v>10.8917793460499</v>
      </c>
      <c r="AY51" s="810">
        <v>6.32126177836678</v>
      </c>
      <c r="AZ51" s="810">
        <v>4.57695008741106</v>
      </c>
      <c r="BA51" s="810">
        <v>5.76020463790628</v>
      </c>
      <c r="BB51" s="810">
        <v>17.2533686233174</v>
      </c>
      <c r="BC51" s="934">
        <v>4.84202675761119</v>
      </c>
      <c r="BD51" s="933">
        <f t="shared" si="20"/>
        <v>10.1851107827055</v>
      </c>
      <c r="BE51" s="810">
        <v>6.78215566248927</v>
      </c>
      <c r="BF51" s="810">
        <v>5.09924907976123</v>
      </c>
      <c r="BG51" s="810">
        <v>6.10279206481292</v>
      </c>
      <c r="BH51" s="810">
        <v>5.62315387593203</v>
      </c>
      <c r="BI51" s="934">
        <v>4.41711007599884</v>
      </c>
      <c r="BJ51" s="8"/>
      <c r="BK51" s="340" t="str">
        <f t="shared" si="15"/>
        <v>1Q17</v>
      </c>
      <c r="BL51" s="933">
        <f t="shared" si="16"/>
        <v>28.4528464624428</v>
      </c>
      <c r="BM51" s="810">
        <v>10.410691881697</v>
      </c>
      <c r="BN51" s="810">
        <v>11.1961858862244</v>
      </c>
      <c r="BO51" s="810">
        <v>14.1480637413155</v>
      </c>
      <c r="BP51" s="810">
        <v>14.8818083973992</v>
      </c>
      <c r="BQ51" s="934">
        <v>15.0859111459884</v>
      </c>
      <c r="BR51" s="933">
        <f t="shared" si="17"/>
        <v>25.9732142384717</v>
      </c>
      <c r="BS51" s="810">
        <v>9.84059960465627</v>
      </c>
      <c r="BT51" s="810">
        <v>10.3459834789896</v>
      </c>
      <c r="BU51" s="810">
        <v>13.4242627318696</v>
      </c>
      <c r="BV51" s="810">
        <v>13.4783838217687</v>
      </c>
      <c r="BW51" s="934">
        <v>15.4038317054846</v>
      </c>
      <c r="BX51" s="933">
        <f t="shared" si="18"/>
        <v>10.8917793460499</v>
      </c>
      <c r="BY51" s="810">
        <v>5.78148773705291</v>
      </c>
      <c r="BZ51" s="810">
        <v>4.72035075619799</v>
      </c>
      <c r="CA51" s="810">
        <v>9.15838226846345</v>
      </c>
      <c r="CB51" s="810">
        <v>9.03030245541161</v>
      </c>
      <c r="CC51" s="934">
        <v>10.3128599049214</v>
      </c>
      <c r="CD51" s="933">
        <f t="shared" si="21"/>
        <v>10.1851107827055</v>
      </c>
      <c r="CE51" s="810">
        <v>5.90612163514183</v>
      </c>
      <c r="CF51" s="810">
        <v>5.299003534864</v>
      </c>
      <c r="CG51" s="810">
        <v>7.82073296342177</v>
      </c>
      <c r="CH51" s="810">
        <v>7.50386760768766</v>
      </c>
      <c r="CI51" s="934">
        <v>8.61617127928056</v>
      </c>
    </row>
    <row r="52" ht="14.25" customHeight="1" spans="1:87" x14ac:dyDescent="0.25">
      <c r="A52" s="8"/>
      <c r="B52" s="8"/>
      <c r="C52" s="75"/>
      <c r="D52" s="8"/>
      <c r="E52" s="75" t="s">
        <v>1039</v>
      </c>
      <c r="F52" s="75" t="s">
        <v>1040</v>
      </c>
      <c r="G52" s="75" t="s">
        <v>1041</v>
      </c>
      <c r="H52" s="75" t="s">
        <v>1042</v>
      </c>
      <c r="I52" s="75">
        <v>1</v>
      </c>
      <c r="J52" s="7">
        <v>2017</v>
      </c>
      <c r="K52" s="340" t="s">
        <v>1102</v>
      </c>
      <c r="L52" s="933">
        <v>33.9189988972201</v>
      </c>
      <c r="M52" s="810">
        <v>26.2311661300036</v>
      </c>
      <c r="N52" s="810">
        <v>40.1561531211508</v>
      </c>
      <c r="O52" s="810"/>
      <c r="P52" s="810">
        <v>525.254465143076</v>
      </c>
      <c r="Q52" s="810">
        <v>153.390920180673</v>
      </c>
      <c r="R52" s="810">
        <v>25.2786954528985</v>
      </c>
      <c r="S52" s="810">
        <v>22.0814562861766</v>
      </c>
      <c r="T52" s="810">
        <v>29.1413253001098</v>
      </c>
      <c r="U52" s="810"/>
      <c r="V52" s="810">
        <v>27.6901206601636</v>
      </c>
      <c r="W52" s="810">
        <v>58.8518283198766</v>
      </c>
      <c r="X52" s="810">
        <v>10.8778406820015</v>
      </c>
      <c r="Y52" s="810">
        <v>10.9857817455473</v>
      </c>
      <c r="Z52" s="810">
        <v>16.8287661586953</v>
      </c>
      <c r="AA52" s="810"/>
      <c r="AB52" s="810">
        <v>9.58720183218188</v>
      </c>
      <c r="AC52" s="810">
        <v>11.0177110557907</v>
      </c>
      <c r="AD52" s="810">
        <v>10.1594217958332</v>
      </c>
      <c r="AE52" s="810">
        <v>10.1921038709997</v>
      </c>
      <c r="AF52" s="810">
        <v>13.9718167903223</v>
      </c>
      <c r="AG52" s="810"/>
      <c r="AH52" s="810">
        <v>9.10313591986729</v>
      </c>
      <c r="AI52" s="810">
        <v>9.50689850903313</v>
      </c>
      <c r="AJ52" s="8"/>
      <c r="AK52" s="340" t="str">
        <f t="shared" si="11"/>
        <v>2Q17</v>
      </c>
      <c r="AL52" s="933">
        <f t="shared" si="12"/>
        <v>33.9189988972201</v>
      </c>
      <c r="AM52" s="810">
        <v>10.9747005408781</v>
      </c>
      <c r="AN52" s="810">
        <v>8.90906102941755</v>
      </c>
      <c r="AO52" s="810">
        <v>9.99584455790109</v>
      </c>
      <c r="AP52" s="810">
        <v>11.0516739030497</v>
      </c>
      <c r="AQ52" s="934">
        <v>13.4987555674236</v>
      </c>
      <c r="AR52" s="933">
        <f t="shared" si="13"/>
        <v>25.2786954528985</v>
      </c>
      <c r="AS52" s="810">
        <v>10.7964205816555</v>
      </c>
      <c r="AT52" s="810">
        <v>9.9545906059316</v>
      </c>
      <c r="AU52" s="810">
        <v>11.0217472815898</v>
      </c>
      <c r="AV52" s="810">
        <v>10.4104532703381</v>
      </c>
      <c r="AW52" s="934">
        <v>9.43301435406699</v>
      </c>
      <c r="AX52" s="933">
        <f t="shared" si="14"/>
        <v>10.8778406820015</v>
      </c>
      <c r="AY52" s="810">
        <v>6.25222651321006</v>
      </c>
      <c r="AZ52" s="810">
        <v>4.83952787353108</v>
      </c>
      <c r="BA52" s="810">
        <v>5.83587531857158</v>
      </c>
      <c r="BB52" s="810">
        <v>17.5958788491898</v>
      </c>
      <c r="BC52" s="934">
        <v>5.68527472329238</v>
      </c>
      <c r="BD52" s="933">
        <f t="shared" si="20"/>
        <v>10.1594217958332</v>
      </c>
      <c r="BE52" s="810">
        <v>6.40065941153131</v>
      </c>
      <c r="BF52" s="810">
        <v>5.38918917105491</v>
      </c>
      <c r="BG52" s="810">
        <v>6.37096811530985</v>
      </c>
      <c r="BH52" s="810">
        <v>6.06595367790709</v>
      </c>
      <c r="BI52" s="934">
        <v>5.2266664649216</v>
      </c>
      <c r="BJ52" s="8"/>
      <c r="BK52" s="340" t="str">
        <f t="shared" si="15"/>
        <v>2Q17</v>
      </c>
      <c r="BL52" s="933">
        <f t="shared" si="16"/>
        <v>33.9189988972201</v>
      </c>
      <c r="BM52" s="810">
        <v>11.3979492341081</v>
      </c>
      <c r="BN52" s="810">
        <v>10.6559916715208</v>
      </c>
      <c r="BO52" s="810">
        <v>16.3110862969049</v>
      </c>
      <c r="BP52" s="810">
        <v>16.9422737201693</v>
      </c>
      <c r="BQ52" s="934">
        <v>16.5946552528309</v>
      </c>
      <c r="BR52" s="933">
        <f t="shared" si="17"/>
        <v>25.2786954528985</v>
      </c>
      <c r="BS52" s="810">
        <v>10.8617459722743</v>
      </c>
      <c r="BT52" s="810">
        <v>10.0128100617212</v>
      </c>
      <c r="BU52" s="810">
        <v>13.2523150673822</v>
      </c>
      <c r="BV52" s="810">
        <v>14.4974502069346</v>
      </c>
      <c r="BW52" s="934">
        <v>15.2838213643056</v>
      </c>
      <c r="BX52" s="933">
        <f t="shared" si="18"/>
        <v>10.8778406820015</v>
      </c>
      <c r="BY52" s="810">
        <v>6.17824326026236</v>
      </c>
      <c r="BZ52" s="810">
        <v>5.36871235891615</v>
      </c>
      <c r="CA52" s="810">
        <v>9.74395550475693</v>
      </c>
      <c r="CB52" s="810">
        <v>10.5591287033373</v>
      </c>
      <c r="CC52" s="934">
        <v>10.940341244788</v>
      </c>
      <c r="CD52" s="933">
        <f t="shared" si="21"/>
        <v>10.1594217958332</v>
      </c>
      <c r="CE52" s="810">
        <v>6.05796027145949</v>
      </c>
      <c r="CF52" s="810">
        <v>6.03868418220498</v>
      </c>
      <c r="CG52" s="810">
        <v>7.77903050962802</v>
      </c>
      <c r="CH52" s="810">
        <v>9.0216648635804</v>
      </c>
      <c r="CI52" s="934">
        <v>9.76738277151971</v>
      </c>
    </row>
    <row r="53" ht="14.25" customHeight="1" spans="1:87" x14ac:dyDescent="0.25">
      <c r="A53" s="8"/>
      <c r="B53" s="8"/>
      <c r="C53" s="8" t="s">
        <v>988</v>
      </c>
      <c r="D53" s="8"/>
      <c r="E53" s="753">
        <f>AVERAGE(AM81:AQ86)</f>
        <v>16.2811317957635</v>
      </c>
      <c r="F53" s="753">
        <f>AVERAGE(AS81:AW86)</f>
        <v>16.207046180263625</v>
      </c>
      <c r="G53" s="753">
        <f>AVERAGE(AY81:BC86)</f>
        <v>12.026952580590283</v>
      </c>
      <c r="H53" s="753">
        <f>AVERAGE(BE81:BI86)</f>
        <v>12.189450395723325</v>
      </c>
      <c r="I53" s="75">
        <v>2</v>
      </c>
      <c r="J53" s="7">
        <v>2017</v>
      </c>
      <c r="K53" s="340" t="s">
        <v>1103</v>
      </c>
      <c r="L53" s="933">
        <v>33.5719861443138</v>
      </c>
      <c r="M53" s="810">
        <v>26.3215860882666</v>
      </c>
      <c r="N53" s="810">
        <v>41.4678693165428</v>
      </c>
      <c r="O53" s="810"/>
      <c r="P53" s="810">
        <v>113.900736719659</v>
      </c>
      <c r="Q53" s="810">
        <v>50.597397312716</v>
      </c>
      <c r="R53" s="810">
        <v>25.5248357936353</v>
      </c>
      <c r="S53" s="810">
        <v>22.8081679717105</v>
      </c>
      <c r="T53" s="810">
        <v>29.9366925367535</v>
      </c>
      <c r="U53" s="810"/>
      <c r="V53" s="810">
        <v>26.7872478854912</v>
      </c>
      <c r="W53" s="810">
        <v>52.4698978457506</v>
      </c>
      <c r="X53" s="810">
        <v>11.0060999131807</v>
      </c>
      <c r="Y53" s="810">
        <v>11.3042897969067</v>
      </c>
      <c r="Z53" s="810">
        <v>16.0937064368151</v>
      </c>
      <c r="AA53" s="810"/>
      <c r="AB53" s="810">
        <v>10.2576972467582</v>
      </c>
      <c r="AC53" s="810">
        <v>10.6953513739475</v>
      </c>
      <c r="AD53" s="810">
        <v>10.26683215175</v>
      </c>
      <c r="AE53" s="810">
        <v>10.4975778542816</v>
      </c>
      <c r="AF53" s="810">
        <v>14.3882838444877</v>
      </c>
      <c r="AG53" s="810"/>
      <c r="AH53" s="810">
        <v>9.71087565043458</v>
      </c>
      <c r="AI53" s="810">
        <v>9.26753003094916</v>
      </c>
      <c r="AJ53" s="8"/>
      <c r="AK53" s="340" t="str">
        <f t="shared" si="11"/>
        <v>3Q17</v>
      </c>
      <c r="AL53" s="933">
        <f t="shared" si="12"/>
        <v>33.5719861443138</v>
      </c>
      <c r="AM53" s="810">
        <v>11.9782130374776</v>
      </c>
      <c r="AN53" s="810">
        <v>10.1920161063397</v>
      </c>
      <c r="AO53" s="810">
        <v>11.0652994919033</v>
      </c>
      <c r="AP53" s="810">
        <v>12.1382016308239</v>
      </c>
      <c r="AQ53" s="934">
        <v>13.1569455274973</v>
      </c>
      <c r="AR53" s="933">
        <f t="shared" si="13"/>
        <v>25.5248357936353</v>
      </c>
      <c r="AS53" s="810">
        <v>12.041745309204</v>
      </c>
      <c r="AT53" s="810">
        <v>11.5031953320367</v>
      </c>
      <c r="AU53" s="810">
        <v>12.081125525306</v>
      </c>
      <c r="AV53" s="810">
        <v>11.6027255221449</v>
      </c>
      <c r="AW53" s="934">
        <v>9.05437352245863</v>
      </c>
      <c r="AX53" s="933">
        <f t="shared" si="14"/>
        <v>11.0060999131807</v>
      </c>
      <c r="AY53" s="810">
        <v>6.78063849169565</v>
      </c>
      <c r="AZ53" s="810">
        <v>5.66684750026189</v>
      </c>
      <c r="BA53" s="810">
        <v>6.6173009488542</v>
      </c>
      <c r="BB53" s="810">
        <v>19.9828410370048</v>
      </c>
      <c r="BC53" s="934">
        <v>6.51827173074468</v>
      </c>
      <c r="BD53" s="933">
        <f t="shared" si="20"/>
        <v>10.26683215175</v>
      </c>
      <c r="BE53" s="810">
        <v>7.09397312761365</v>
      </c>
      <c r="BF53" s="810">
        <v>6.33862033674069</v>
      </c>
      <c r="BG53" s="810">
        <v>7.28432496531872</v>
      </c>
      <c r="BH53" s="810">
        <v>6.68105898371528</v>
      </c>
      <c r="BI53" s="934">
        <v>5.73741529842785</v>
      </c>
      <c r="BJ53" s="8"/>
      <c r="BK53" s="340" t="str">
        <f t="shared" si="15"/>
        <v>3Q17</v>
      </c>
      <c r="BL53" s="933">
        <f t="shared" si="16"/>
        <v>33.5719861443138</v>
      </c>
      <c r="BM53" s="810">
        <v>12.7998713961279</v>
      </c>
      <c r="BN53" s="810">
        <v>9.88599170185066</v>
      </c>
      <c r="BO53" s="810">
        <v>16.8796644924156</v>
      </c>
      <c r="BP53" s="810">
        <v>17.1543540948171</v>
      </c>
      <c r="BQ53" s="934">
        <v>16.2968345494295</v>
      </c>
      <c r="BR53" s="933">
        <f t="shared" si="17"/>
        <v>25.5248357936353</v>
      </c>
      <c r="BS53" s="810">
        <v>12.0599415204678</v>
      </c>
      <c r="BT53" s="810">
        <v>9.54310547333803</v>
      </c>
      <c r="BU53" s="810">
        <v>13.4285662445783</v>
      </c>
      <c r="BV53" s="810">
        <v>15.2589643125916</v>
      </c>
      <c r="BW53" s="934">
        <v>15.2111292962357</v>
      </c>
      <c r="BX53" s="933">
        <f t="shared" si="18"/>
        <v>11.0060999131807</v>
      </c>
      <c r="BY53" s="810">
        <v>8.31815669163724</v>
      </c>
      <c r="BZ53" s="810">
        <v>4.36124069424063</v>
      </c>
      <c r="CA53" s="810">
        <v>9.98979284446393</v>
      </c>
      <c r="CB53" s="810">
        <v>10.9047396522652</v>
      </c>
      <c r="CC53" s="934">
        <v>10.2848031066489</v>
      </c>
      <c r="CD53" s="933">
        <f t="shared" si="21"/>
        <v>10.26683215175</v>
      </c>
      <c r="CE53" s="810">
        <v>8.60527544095053</v>
      </c>
      <c r="CF53" s="810">
        <v>5.30711310091909</v>
      </c>
      <c r="CG53" s="810">
        <v>8.22929198083086</v>
      </c>
      <c r="CH53" s="810">
        <v>9.50349294444337</v>
      </c>
      <c r="CI53" s="934">
        <v>9.46146004385748</v>
      </c>
    </row>
    <row r="54" ht="14.25" customHeight="1" spans="1:87" x14ac:dyDescent="0.25">
      <c r="A54" s="8"/>
      <c r="B54" s="8"/>
      <c r="C54" s="8" t="s">
        <v>985</v>
      </c>
      <c r="D54" s="8"/>
      <c r="E54" s="753">
        <f>AVERAGE(AM77:AQ86)</f>
        <v>16.167189775700525</v>
      </c>
      <c r="F54" s="753">
        <f>AVERAGE(AS77:AW86)</f>
        <v>16.123041845273583</v>
      </c>
      <c r="G54" s="753">
        <f>AVERAGE(AY77:BC86)</f>
        <v>11.95618302887918</v>
      </c>
      <c r="H54" s="753">
        <f>AVERAGE(BE77:BI86)</f>
        <v>12.1269722740679</v>
      </c>
      <c r="I54" s="75">
        <v>3</v>
      </c>
      <c r="J54" s="7">
        <v>2017</v>
      </c>
      <c r="K54" s="340" t="s">
        <v>1104</v>
      </c>
      <c r="L54" s="933">
        <v>28.3644205032681</v>
      </c>
      <c r="M54" s="810">
        <v>27.2068181610398</v>
      </c>
      <c r="N54" s="810">
        <v>39.3851825326105</v>
      </c>
      <c r="O54" s="810"/>
      <c r="P54" s="810">
        <v>80.5078077185374</v>
      </c>
      <c r="Q54" s="810">
        <v>48.9657122568767</v>
      </c>
      <c r="R54" s="810">
        <v>26.5762578616352</v>
      </c>
      <c r="S54" s="810">
        <v>24.9101988454137</v>
      </c>
      <c r="T54" s="810">
        <v>30.6616895874263</v>
      </c>
      <c r="U54" s="810"/>
      <c r="V54" s="810">
        <v>34.3582089552239</v>
      </c>
      <c r="W54" s="810">
        <v>56.7539267015707</v>
      </c>
      <c r="X54" s="810">
        <v>11.0684728730034</v>
      </c>
      <c r="Y54" s="810">
        <v>11.9522100412921</v>
      </c>
      <c r="Z54" s="810">
        <v>15.5907495659074</v>
      </c>
      <c r="AA54" s="810"/>
      <c r="AB54" s="810">
        <v>11.3118859769702</v>
      </c>
      <c r="AC54" s="810">
        <v>10.37277842878</v>
      </c>
      <c r="AD54" s="810">
        <v>10.3556329238127</v>
      </c>
      <c r="AE54" s="810">
        <v>11.1983640154983</v>
      </c>
      <c r="AF54" s="810">
        <v>14.2157155384271</v>
      </c>
      <c r="AG54" s="810"/>
      <c r="AH54" s="810">
        <v>10.7725123945022</v>
      </c>
      <c r="AI54" s="810">
        <v>9.02150960776041</v>
      </c>
      <c r="AJ54" s="8"/>
      <c r="AK54" s="340" t="str">
        <f t="shared" si="11"/>
        <v>4Q17</v>
      </c>
      <c r="AL54" s="933">
        <f t="shared" si="12"/>
        <v>28.3644205032681</v>
      </c>
      <c r="AM54" s="810">
        <v>13.61392571717</v>
      </c>
      <c r="AN54" s="810">
        <v>11.2813752145605</v>
      </c>
      <c r="AO54" s="810">
        <v>12.8588618530776</v>
      </c>
      <c r="AP54" s="810">
        <v>13.2005714616677</v>
      </c>
      <c r="AQ54" s="934">
        <v>15.6097024743989</v>
      </c>
      <c r="AR54" s="933">
        <f t="shared" si="13"/>
        <v>26.5762578616352</v>
      </c>
      <c r="AS54" s="810">
        <v>13.3532244556114</v>
      </c>
      <c r="AT54" s="810">
        <v>12.3698221010258</v>
      </c>
      <c r="AU54" s="810">
        <v>13.5614992081647</v>
      </c>
      <c r="AV54" s="810">
        <v>12.5729061916391</v>
      </c>
      <c r="AW54" s="934">
        <v>10.6168224299065</v>
      </c>
      <c r="AX54" s="933">
        <f t="shared" si="14"/>
        <v>11.0684728730034</v>
      </c>
      <c r="AY54" s="810">
        <v>7.77708057929062</v>
      </c>
      <c r="AZ54" s="810">
        <v>6.25430883142553</v>
      </c>
      <c r="BA54" s="810">
        <v>7.53946972682942</v>
      </c>
      <c r="BB54" s="810">
        <v>21.4577285987806</v>
      </c>
      <c r="BC54" s="934">
        <v>7.61177518320519</v>
      </c>
      <c r="BD54" s="933">
        <f t="shared" si="20"/>
        <v>10.3556329238127</v>
      </c>
      <c r="BE54" s="810">
        <v>7.84948878142277</v>
      </c>
      <c r="BF54" s="810">
        <v>6.6309938124452</v>
      </c>
      <c r="BG54" s="810">
        <v>7.96930082065482</v>
      </c>
      <c r="BH54" s="810">
        <v>7.18444358023124</v>
      </c>
      <c r="BI54" s="934">
        <v>6.62350163338909</v>
      </c>
      <c r="BJ54" s="8"/>
      <c r="BK54" s="340" t="str">
        <f t="shared" si="15"/>
        <v>4Q17</v>
      </c>
      <c r="BL54" s="933">
        <f t="shared" si="16"/>
        <v>28.3644205032681</v>
      </c>
      <c r="BM54" s="810">
        <v>14.9862401518031</v>
      </c>
      <c r="BN54" s="810">
        <v>9.13300318819126</v>
      </c>
      <c r="BO54" s="810">
        <v>17.6015046977109</v>
      </c>
      <c r="BP54" s="810">
        <v>17.71647607207</v>
      </c>
      <c r="BQ54" s="934">
        <v>18.2145269890738</v>
      </c>
      <c r="BR54" s="933">
        <f t="shared" si="17"/>
        <v>26.5762578616352</v>
      </c>
      <c r="BS54" s="810">
        <v>13.2654684269127</v>
      </c>
      <c r="BT54" s="810">
        <v>9.18415707515233</v>
      </c>
      <c r="BU54" s="810">
        <v>13.8673284698068</v>
      </c>
      <c r="BV54" s="810">
        <v>15.9802470919811</v>
      </c>
      <c r="BW54" s="934">
        <v>17.5203119922002</v>
      </c>
      <c r="BX54" s="933">
        <f t="shared" si="18"/>
        <v>11.0684728730034</v>
      </c>
      <c r="BY54" s="810">
        <v>7.22081451044756</v>
      </c>
      <c r="BZ54" s="810">
        <v>4.05393973980648</v>
      </c>
      <c r="CA54" s="810">
        <v>10.6003988879441</v>
      </c>
      <c r="CB54" s="810">
        <v>11.0192322082175</v>
      </c>
      <c r="CC54" s="934">
        <v>11.2008098892945</v>
      </c>
      <c r="CD54" s="933">
        <f t="shared" si="21"/>
        <v>10.3556329238127</v>
      </c>
      <c r="CE54" s="810">
        <v>6.9112131795103</v>
      </c>
      <c r="CF54" s="810">
        <v>4.86796467959036</v>
      </c>
      <c r="CG54" s="810">
        <v>9.24679972699082</v>
      </c>
      <c r="CH54" s="810">
        <v>10.1547982579153</v>
      </c>
      <c r="CI54" s="934">
        <v>10.8621545004283</v>
      </c>
    </row>
    <row r="55" ht="14.25" customHeight="1" spans="1:87" x14ac:dyDescent="0.25">
      <c r="A55" s="8"/>
      <c r="B55" s="8"/>
      <c r="C55" s="8" t="s">
        <v>990</v>
      </c>
      <c r="D55" s="8"/>
      <c r="E55" s="753">
        <f>AVERAGE(AM73:AQ86)</f>
        <v>16.693825092020955</v>
      </c>
      <c r="F55" s="753">
        <f>AVERAGE(AS73:AW86)</f>
        <v>16.078511393647254</v>
      </c>
      <c r="G55" s="753">
        <f>AVERAGE(AY73:BC86)</f>
        <v>11.965668501832177</v>
      </c>
      <c r="H55" s="753">
        <f>AVERAGE(BE73:BI86)</f>
        <v>11.89400826050088</v>
      </c>
      <c r="I55" s="75">
        <v>4</v>
      </c>
      <c r="J55" s="7">
        <v>2017</v>
      </c>
      <c r="K55" s="340" t="s">
        <v>1105</v>
      </c>
      <c r="L55" s="933">
        <v>27.3427759419902</v>
      </c>
      <c r="M55" s="810">
        <v>26.9097974759429</v>
      </c>
      <c r="N55" s="810">
        <v>38.7895120166924</v>
      </c>
      <c r="O55" s="810"/>
      <c r="P55" s="810">
        <v>34.0040577981718</v>
      </c>
      <c r="Q55" s="810">
        <v>157.932542969559</v>
      </c>
      <c r="R55" s="810">
        <v>20.9704968944099</v>
      </c>
      <c r="S55" s="810">
        <v>20.4385421867199</v>
      </c>
      <c r="T55" s="810">
        <v>27.7828100250854</v>
      </c>
      <c r="U55" s="810"/>
      <c r="V55" s="810">
        <v>30.7423785292926</v>
      </c>
      <c r="W55" s="810">
        <v>56.2359999808694</v>
      </c>
      <c r="X55" s="810">
        <v>10.8156651970371</v>
      </c>
      <c r="Y55" s="810">
        <v>11.4487461679381</v>
      </c>
      <c r="Z55" s="810">
        <v>15.4975096049297</v>
      </c>
      <c r="AA55" s="810"/>
      <c r="AB55" s="810">
        <v>11.3876224067098</v>
      </c>
      <c r="AC55" s="810">
        <v>9.51431833530284</v>
      </c>
      <c r="AD55" s="810">
        <v>10.2113881259857</v>
      </c>
      <c r="AE55" s="810">
        <v>10.7639088355746</v>
      </c>
      <c r="AF55" s="810">
        <v>14.2320489267643</v>
      </c>
      <c r="AG55" s="810"/>
      <c r="AH55" s="810">
        <v>10.5221966230965</v>
      </c>
      <c r="AI55" s="810">
        <v>8.60770948965188</v>
      </c>
      <c r="AJ55" s="8"/>
      <c r="AK55" s="340" t="str">
        <f t="shared" si="11"/>
        <v>1Q18</v>
      </c>
      <c r="AL55" s="933">
        <f t="shared" si="12"/>
        <v>27.3427759419902</v>
      </c>
      <c r="AM55" s="810">
        <v>14.899093867298</v>
      </c>
      <c r="AN55" s="810">
        <v>13.4652467749377</v>
      </c>
      <c r="AO55" s="810">
        <v>14.8842735424243</v>
      </c>
      <c r="AP55" s="810">
        <v>13.4577711198626</v>
      </c>
      <c r="AQ55" s="934">
        <v>83.6538461538461</v>
      </c>
      <c r="AR55" s="933">
        <f t="shared" si="13"/>
        <v>20.9704968944099</v>
      </c>
      <c r="AS55" s="810">
        <v>15.3669629935911</v>
      </c>
      <c r="AT55" s="810">
        <v>14.1145320197044</v>
      </c>
      <c r="AU55" s="810">
        <v>15.56547108289</v>
      </c>
      <c r="AV55" s="810">
        <v>13.5956175298805</v>
      </c>
      <c r="AW55" s="934">
        <v>10.0694444444444</v>
      </c>
      <c r="AX55" s="933">
        <f t="shared" si="14"/>
        <v>10.8156651970371</v>
      </c>
      <c r="AY55" s="810">
        <v>9.30880362696557</v>
      </c>
      <c r="AZ55" s="810">
        <v>7.2477448823506</v>
      </c>
      <c r="BA55" s="810">
        <v>8.74227284277257</v>
      </c>
      <c r="BB55" s="810">
        <v>7.69023648176773</v>
      </c>
      <c r="BC55" s="934">
        <v>6.98574669803306</v>
      </c>
      <c r="BD55" s="933">
        <f t="shared" si="20"/>
        <v>10.2113881259857</v>
      </c>
      <c r="BE55" s="810">
        <v>8.47633778801312</v>
      </c>
      <c r="BF55" s="810">
        <v>7.47266848603473</v>
      </c>
      <c r="BG55" s="810">
        <v>8.54010978861887</v>
      </c>
      <c r="BH55" s="810">
        <v>7.44769376803239</v>
      </c>
      <c r="BI55" s="934">
        <v>6.37364243076596</v>
      </c>
      <c r="BJ55" s="8"/>
      <c r="BK55" s="340" t="str">
        <f t="shared" si="15"/>
        <v>1Q18</v>
      </c>
      <c r="BL55" s="933">
        <f t="shared" si="16"/>
        <v>27.3427759419902</v>
      </c>
      <c r="BM55" s="810">
        <v>16.2012154925796</v>
      </c>
      <c r="BN55" s="810">
        <v>9.78991294877581</v>
      </c>
      <c r="BO55" s="810">
        <v>20.0747118434189</v>
      </c>
      <c r="BP55" s="810">
        <v>16.4086024096269</v>
      </c>
      <c r="BQ55" s="934">
        <v>18.1950160365563</v>
      </c>
      <c r="BR55" s="933">
        <f t="shared" si="17"/>
        <v>20.9704968944099</v>
      </c>
      <c r="BS55" s="810">
        <v>16.6014625228519</v>
      </c>
      <c r="BT55" s="810">
        <v>10.9508393285372</v>
      </c>
      <c r="BU55" s="810">
        <v>16.4593016139279</v>
      </c>
      <c r="BV55" s="810">
        <v>17.5868302999988</v>
      </c>
      <c r="BW55" s="934">
        <v>18.5040650406504</v>
      </c>
      <c r="BX55" s="933">
        <f t="shared" si="18"/>
        <v>10.8156651970371</v>
      </c>
      <c r="BY55" s="810">
        <v>7.11789902474014</v>
      </c>
      <c r="BZ55" s="810">
        <v>4.28902815945814</v>
      </c>
      <c r="CA55" s="810">
        <v>15.144914733762</v>
      </c>
      <c r="CB55" s="810">
        <v>11.4352152994917</v>
      </c>
      <c r="CC55" s="934">
        <v>11.1025976069489</v>
      </c>
      <c r="CD55" s="933">
        <f t="shared" si="21"/>
        <v>10.2113881259857</v>
      </c>
      <c r="CE55" s="810">
        <v>7.513322197713</v>
      </c>
      <c r="CF55" s="810">
        <v>5.63279108316854</v>
      </c>
      <c r="CG55" s="810">
        <v>9.16310246193321</v>
      </c>
      <c r="CH55" s="810">
        <v>9.45976313593936</v>
      </c>
      <c r="CI55" s="934">
        <v>10.199800616474</v>
      </c>
    </row>
    <row r="56" ht="14.25" customHeight="1" spans="1:87" x14ac:dyDescent="0.25">
      <c r="A56" s="8"/>
      <c r="B56" s="8"/>
      <c r="C56" s="8" t="s">
        <v>991</v>
      </c>
      <c r="D56" s="8"/>
      <c r="E56" s="753">
        <f>AVERAGE(AM65:AQ86)</f>
        <v>18.270614828253066</v>
      </c>
      <c r="F56" s="753">
        <f>AVERAGE(AS65:AW86)</f>
        <v>17.344062816540788</v>
      </c>
      <c r="G56" s="753">
        <f>AVERAGE(AY65:BC86)</f>
        <v>12.110641773518143</v>
      </c>
      <c r="H56" s="753">
        <f>AVERAGE(BE65:BI86)</f>
        <v>11.961096449914985</v>
      </c>
      <c r="I56" s="75">
        <v>1</v>
      </c>
      <c r="J56" s="7">
        <v>2018</v>
      </c>
      <c r="K56" s="340" t="s">
        <v>1106</v>
      </c>
      <c r="L56" s="933">
        <v>26.1683402129221</v>
      </c>
      <c r="M56" s="810">
        <v>23.1856065669938</v>
      </c>
      <c r="N56" s="810">
        <v>39.5020060596329</v>
      </c>
      <c r="O56" s="810"/>
      <c r="P56" s="810">
        <v>38.2081411239549</v>
      </c>
      <c r="Q56" s="810">
        <v>46.283374228784</v>
      </c>
      <c r="R56" s="810">
        <v>21.2568494214271</v>
      </c>
      <c r="S56" s="810">
        <v>19.3636632427818</v>
      </c>
      <c r="T56" s="810">
        <v>28.4453721030661</v>
      </c>
      <c r="U56" s="810"/>
      <c r="V56" s="810">
        <v>32.7937857401798</v>
      </c>
      <c r="W56" s="810">
        <v>53.687453211018</v>
      </c>
      <c r="X56" s="810">
        <v>10.8760393272792</v>
      </c>
      <c r="Y56" s="810">
        <v>11.0691372100687</v>
      </c>
      <c r="Z56" s="810">
        <v>15.8819890813126</v>
      </c>
      <c r="AA56" s="810"/>
      <c r="AB56" s="810">
        <v>12.1905243000989</v>
      </c>
      <c r="AC56" s="810">
        <v>10.4804589208529</v>
      </c>
      <c r="AD56" s="810">
        <v>10.302782038193</v>
      </c>
      <c r="AE56" s="810">
        <v>10.5500187624268</v>
      </c>
      <c r="AF56" s="810">
        <v>14.3973982192864</v>
      </c>
      <c r="AG56" s="810"/>
      <c r="AH56" s="810">
        <v>11.1990734509655</v>
      </c>
      <c r="AI56" s="810">
        <v>9.42909148460366</v>
      </c>
      <c r="AJ56" s="8"/>
      <c r="AK56" s="340" t="str">
        <f t="shared" si="11"/>
        <v>2Q18</v>
      </c>
      <c r="AL56" s="933">
        <f t="shared" si="12"/>
        <v>26.1683402129221</v>
      </c>
      <c r="AM56" s="810">
        <v>15.6067765380931</v>
      </c>
      <c r="AN56" s="810">
        <v>13.8939188373522</v>
      </c>
      <c r="AO56" s="810">
        <v>15.8564149382548</v>
      </c>
      <c r="AP56" s="810">
        <v>15.0353292967643</v>
      </c>
      <c r="AQ56" s="934">
        <v>79.6538461538461</v>
      </c>
      <c r="AR56" s="933">
        <f t="shared" si="13"/>
        <v>21.2568494214271</v>
      </c>
      <c r="AS56" s="810">
        <v>15.3854853911404</v>
      </c>
      <c r="AT56" s="810">
        <v>13.9113767053783</v>
      </c>
      <c r="AU56" s="810">
        <v>14.2184801381693</v>
      </c>
      <c r="AV56" s="810">
        <v>15.1026067665003</v>
      </c>
      <c r="AW56" s="934">
        <v>10.5394402035623</v>
      </c>
      <c r="AX56" s="933">
        <f t="shared" si="14"/>
        <v>10.8760393272792</v>
      </c>
      <c r="AY56" s="810">
        <v>9.52318541881982</v>
      </c>
      <c r="AZ56" s="810">
        <v>7.77289795350423</v>
      </c>
      <c r="BA56" s="810">
        <v>9.07602320303267</v>
      </c>
      <c r="BB56" s="810">
        <v>8.82115813258258</v>
      </c>
      <c r="BC56" s="934">
        <v>6.58313719115977</v>
      </c>
      <c r="BD56" s="933">
        <f t="shared" si="20"/>
        <v>10.302782038193</v>
      </c>
      <c r="BE56" s="810">
        <v>8.75561902375599</v>
      </c>
      <c r="BF56" s="810">
        <v>7.91193042025454</v>
      </c>
      <c r="BG56" s="810">
        <v>8.47813366479963</v>
      </c>
      <c r="BH56" s="810">
        <v>8.76916252515342</v>
      </c>
      <c r="BI56" s="934">
        <v>6.39860235563282</v>
      </c>
      <c r="BJ56" s="8"/>
      <c r="BK56" s="340" t="str">
        <f t="shared" si="15"/>
        <v>2Q18</v>
      </c>
      <c r="BL56" s="933">
        <f t="shared" si="16"/>
        <v>26.1683402129221</v>
      </c>
      <c r="BM56" s="810">
        <v>17.0516310759413</v>
      </c>
      <c r="BN56" s="810">
        <v>9.49964789575999</v>
      </c>
      <c r="BO56" s="810">
        <v>18.027276007093</v>
      </c>
      <c r="BP56" s="810">
        <v>16.5223404454521</v>
      </c>
      <c r="BQ56" s="934">
        <v>18.3451782515745</v>
      </c>
      <c r="BR56" s="933">
        <f t="shared" si="17"/>
        <v>21.2568494214271</v>
      </c>
      <c r="BS56" s="810">
        <v>17.1121060788703</v>
      </c>
      <c r="BT56" s="810">
        <v>10.8172504169645</v>
      </c>
      <c r="BU56" s="810">
        <v>14.6651730972304</v>
      </c>
      <c r="BV56" s="810">
        <v>15.9141730133627</v>
      </c>
      <c r="BW56" s="934">
        <v>17.0868675051185</v>
      </c>
      <c r="BX56" s="933">
        <f t="shared" si="18"/>
        <v>10.8760393272792</v>
      </c>
      <c r="BY56" s="810">
        <v>7.61704507988604</v>
      </c>
      <c r="BZ56" s="810">
        <v>4.9037833624296</v>
      </c>
      <c r="CA56" s="810">
        <v>13.7003339232748</v>
      </c>
      <c r="CB56" s="810">
        <v>11.524812180156</v>
      </c>
      <c r="CC56" s="934">
        <v>11.2269030250655</v>
      </c>
      <c r="CD56" s="933">
        <f t="shared" si="21"/>
        <v>10.302782038193</v>
      </c>
      <c r="CE56" s="810">
        <v>8.35980225899281</v>
      </c>
      <c r="CF56" s="810">
        <v>6.56989915929296</v>
      </c>
      <c r="CG56" s="810">
        <v>9.69570425830949</v>
      </c>
      <c r="CH56" s="810">
        <v>9.59166047764717</v>
      </c>
      <c r="CI56" s="934">
        <v>10.1585096304399</v>
      </c>
    </row>
    <row r="57" ht="14.25" customHeight="1" spans="1:87" x14ac:dyDescent="0.25">
      <c r="A57" s="8"/>
      <c r="B57" s="8"/>
      <c r="C57" s="932" t="s">
        <v>1050</v>
      </c>
      <c r="D57" s="932"/>
      <c r="E57" s="932"/>
      <c r="F57" s="932"/>
      <c r="G57" s="932"/>
      <c r="H57" s="932"/>
      <c r="I57" s="75">
        <v>2</v>
      </c>
      <c r="J57" s="7">
        <v>2018</v>
      </c>
      <c r="K57" s="340" t="s">
        <v>1107</v>
      </c>
      <c r="L57" s="933">
        <v>26.5510881890046</v>
      </c>
      <c r="M57" s="810">
        <v>24.3748153882882</v>
      </c>
      <c r="N57" s="810">
        <v>40.0465477737192</v>
      </c>
      <c r="O57" s="810"/>
      <c r="P57" s="810">
        <v>50.3691739358174</v>
      </c>
      <c r="Q57" s="810">
        <v>85.2700157603005</v>
      </c>
      <c r="R57" s="810">
        <v>22.5614932955847</v>
      </c>
      <c r="S57" s="810">
        <v>20.8674000258833</v>
      </c>
      <c r="T57" s="810">
        <v>29.2688543259057</v>
      </c>
      <c r="U57" s="810"/>
      <c r="V57" s="810">
        <v>38.5211403200779</v>
      </c>
      <c r="W57" s="810">
        <v>53.0700418032687</v>
      </c>
      <c r="X57" s="810">
        <v>11.4051029884085</v>
      </c>
      <c r="Y57" s="810">
        <v>11.8095140052606</v>
      </c>
      <c r="Z57" s="810">
        <v>16.4249396512972</v>
      </c>
      <c r="AA57" s="810"/>
      <c r="AB57" s="810">
        <v>13.9133145860328</v>
      </c>
      <c r="AC57" s="810">
        <v>12.0016878887104</v>
      </c>
      <c r="AD57" s="810">
        <v>10.7895089788985</v>
      </c>
      <c r="AE57" s="810">
        <v>11.1436472836096</v>
      </c>
      <c r="AF57" s="810">
        <v>14.7961419016456</v>
      </c>
      <c r="AG57" s="810"/>
      <c r="AH57" s="810">
        <v>12.279405592503</v>
      </c>
      <c r="AI57" s="810">
        <v>10.8293544801915</v>
      </c>
      <c r="AJ57" s="8"/>
      <c r="AK57" s="340" t="str">
        <f t="shared" si="11"/>
        <v>3Q18</v>
      </c>
      <c r="AL57" s="933">
        <f t="shared" si="12"/>
        <v>26.5510881890046</v>
      </c>
      <c r="AM57" s="810">
        <v>15.1925047159338</v>
      </c>
      <c r="AN57" s="810">
        <v>13.1171174490227</v>
      </c>
      <c r="AO57" s="810">
        <v>14.5572995033791</v>
      </c>
      <c r="AP57" s="810">
        <v>16.0071527457314</v>
      </c>
      <c r="AQ57" s="934">
        <v>72.15</v>
      </c>
      <c r="AR57" s="933">
        <f t="shared" si="13"/>
        <v>22.5614932955847</v>
      </c>
      <c r="AS57" s="810">
        <v>14.6771984293672</v>
      </c>
      <c r="AT57" s="810">
        <v>13.0886214442013</v>
      </c>
      <c r="AU57" s="810">
        <v>13.2886776145203</v>
      </c>
      <c r="AV57" s="810">
        <v>15.9069196123925</v>
      </c>
      <c r="AW57" s="934">
        <v>11.1285347043702</v>
      </c>
      <c r="AX57" s="933">
        <f t="shared" si="14"/>
        <v>11.4051029884085</v>
      </c>
      <c r="AY57" s="810">
        <v>9.04341450295343</v>
      </c>
      <c r="AZ57" s="810">
        <v>7.56549925881769</v>
      </c>
      <c r="BA57" s="810">
        <v>8.56850789299641</v>
      </c>
      <c r="BB57" s="810">
        <v>9.53762607969839</v>
      </c>
      <c r="BC57" s="934">
        <v>7.3059059511382</v>
      </c>
      <c r="BD57" s="933">
        <f t="shared" si="20"/>
        <v>10.7895089788985</v>
      </c>
      <c r="BE57" s="810">
        <v>8.34191205536816</v>
      </c>
      <c r="BF57" s="810">
        <v>7.68678470437694</v>
      </c>
      <c r="BG57" s="810">
        <v>8.01440888453109</v>
      </c>
      <c r="BH57" s="810">
        <v>9.3871322553164</v>
      </c>
      <c r="BI57" s="934">
        <v>6.98257489680346</v>
      </c>
      <c r="BJ57" s="8"/>
      <c r="BK57" s="340" t="str">
        <f t="shared" si="15"/>
        <v>3Q18</v>
      </c>
      <c r="BL57" s="933">
        <f t="shared" si="16"/>
        <v>26.5510881890046</v>
      </c>
      <c r="BM57" s="810">
        <v>17.5122655959803</v>
      </c>
      <c r="BN57" s="810">
        <v>9.57282674631935</v>
      </c>
      <c r="BO57" s="810">
        <v>18.8148107152353</v>
      </c>
      <c r="BP57" s="810">
        <v>16.3834695861817</v>
      </c>
      <c r="BQ57" s="934">
        <v>18.81446848108</v>
      </c>
      <c r="BR57" s="933">
        <f t="shared" si="17"/>
        <v>22.5614932955847</v>
      </c>
      <c r="BS57" s="810">
        <v>17.5330751855437</v>
      </c>
      <c r="BT57" s="810">
        <v>10.6919352934231</v>
      </c>
      <c r="BU57" s="810">
        <v>14.9212562268163</v>
      </c>
      <c r="BV57" s="810">
        <v>15.9611519686452</v>
      </c>
      <c r="BW57" s="934">
        <v>16.8392648774796</v>
      </c>
      <c r="BX57" s="933">
        <f t="shared" si="18"/>
        <v>11.4051029884085</v>
      </c>
      <c r="BY57" s="810">
        <v>8.01713636023447</v>
      </c>
      <c r="BZ57" s="810">
        <v>4.40170908891738</v>
      </c>
      <c r="CA57" s="810">
        <v>16.4908873645734</v>
      </c>
      <c r="CB57" s="810">
        <v>11.2461348569961</v>
      </c>
      <c r="CC57" s="934">
        <v>11.2015939345566</v>
      </c>
      <c r="CD57" s="933">
        <f t="shared" si="21"/>
        <v>10.7895089788985</v>
      </c>
      <c r="CE57" s="810">
        <v>8.40880387409117</v>
      </c>
      <c r="CF57" s="810">
        <v>5.66171143775593</v>
      </c>
      <c r="CG57" s="810">
        <v>12.2215912297605</v>
      </c>
      <c r="CH57" s="810">
        <v>9.947615731982</v>
      </c>
      <c r="CI57" s="934">
        <v>10.0975235451036</v>
      </c>
    </row>
    <row r="58" ht="14.25" customHeight="1" spans="1:87" x14ac:dyDescent="0.25">
      <c r="A58" s="8"/>
      <c r="B58" s="8"/>
      <c r="C58" s="75"/>
      <c r="D58" s="8"/>
      <c r="E58" s="75" t="s">
        <v>1039</v>
      </c>
      <c r="F58" s="75" t="s">
        <v>1040</v>
      </c>
      <c r="G58" s="75" t="s">
        <v>1041</v>
      </c>
      <c r="H58" s="75" t="s">
        <v>1042</v>
      </c>
      <c r="I58" s="75">
        <v>3</v>
      </c>
      <c r="J58" s="7">
        <v>2018</v>
      </c>
      <c r="K58" s="340" t="s">
        <v>1108</v>
      </c>
      <c r="L58" s="933">
        <v>24.8326577178619</v>
      </c>
      <c r="M58" s="810">
        <v>22.3024700129645</v>
      </c>
      <c r="N58" s="810">
        <v>35.6707053431594</v>
      </c>
      <c r="O58" s="810"/>
      <c r="P58" s="810">
        <v>46.6691893255491</v>
      </c>
      <c r="Q58" s="810">
        <v>39.6298006464436</v>
      </c>
      <c r="R58" s="810">
        <v>22.0728720146969</v>
      </c>
      <c r="S58" s="810">
        <v>20.1289301063108</v>
      </c>
      <c r="T58" s="810">
        <v>26.3154307524537</v>
      </c>
      <c r="U58" s="810"/>
      <c r="V58" s="810">
        <v>32.375</v>
      </c>
      <c r="W58" s="810">
        <v>32.0454545454545</v>
      </c>
      <c r="X58" s="810">
        <v>11.309957603153</v>
      </c>
      <c r="Y58" s="810">
        <v>11.5585760339763</v>
      </c>
      <c r="Z58" s="810">
        <v>15.1311299921369</v>
      </c>
      <c r="AA58" s="810"/>
      <c r="AB58" s="810">
        <v>12.9205164391961</v>
      </c>
      <c r="AC58" s="810">
        <v>8.83336497414717</v>
      </c>
      <c r="AD58" s="810">
        <v>10.5805764129517</v>
      </c>
      <c r="AE58" s="810">
        <v>10.8655126714017</v>
      </c>
      <c r="AF58" s="810">
        <v>13.4219943991883</v>
      </c>
      <c r="AG58" s="810"/>
      <c r="AH58" s="810">
        <v>11.1593902620823</v>
      </c>
      <c r="AI58" s="810">
        <v>8.13354924904017</v>
      </c>
      <c r="AJ58" s="8"/>
      <c r="AK58" s="340" t="str">
        <f t="shared" si="11"/>
        <v>4Q18</v>
      </c>
      <c r="AL58" s="933">
        <f t="shared" si="12"/>
        <v>24.8326577178619</v>
      </c>
      <c r="AM58" s="810">
        <v>16.971911291818</v>
      </c>
      <c r="AN58" s="810">
        <v>14.2595180334852</v>
      </c>
      <c r="AO58" s="810">
        <v>15.677518897643</v>
      </c>
      <c r="AP58" s="810">
        <v>17.0492565080697</v>
      </c>
      <c r="AQ58" s="934">
        <v>78.5833333333333</v>
      </c>
      <c r="AR58" s="933">
        <f t="shared" si="13"/>
        <v>22.0728720146969</v>
      </c>
      <c r="AS58" s="810">
        <v>16.2847469707769</v>
      </c>
      <c r="AT58" s="810">
        <v>14.1723136495644</v>
      </c>
      <c r="AU58" s="810">
        <v>14.7510524023806</v>
      </c>
      <c r="AV58" s="810">
        <v>16.8219722038385</v>
      </c>
      <c r="AW58" s="934">
        <v>12.3429319371728</v>
      </c>
      <c r="AX58" s="933">
        <f t="shared" si="14"/>
        <v>11.309957603153</v>
      </c>
      <c r="AY58" s="810">
        <v>10.0416969007958</v>
      </c>
      <c r="AZ58" s="810">
        <v>8.14425798294657</v>
      </c>
      <c r="BA58" s="810">
        <v>9.35769418461125</v>
      </c>
      <c r="BB58" s="810">
        <v>9.75761197852728</v>
      </c>
      <c r="BC58" s="934">
        <v>7.89638044866552</v>
      </c>
      <c r="BD58" s="933">
        <f t="shared" si="20"/>
        <v>10.5805764129517</v>
      </c>
      <c r="BE58" s="810">
        <v>9.2948278991057</v>
      </c>
      <c r="BF58" s="810">
        <v>8.12215087658678</v>
      </c>
      <c r="BG58" s="810">
        <v>8.88488425961786</v>
      </c>
      <c r="BH58" s="810">
        <v>9.53304479938265</v>
      </c>
      <c r="BI58" s="934">
        <v>7.74058870834201</v>
      </c>
      <c r="BJ58" s="8"/>
      <c r="BK58" s="340" t="str">
        <f t="shared" si="15"/>
        <v>4Q18</v>
      </c>
      <c r="BL58" s="933">
        <f t="shared" si="16"/>
        <v>24.8326577178619</v>
      </c>
      <c r="BM58" s="810">
        <v>15.332360616874</v>
      </c>
      <c r="BN58" s="810">
        <v>8.99394808981443</v>
      </c>
      <c r="BO58" s="810">
        <v>18.9573315361765</v>
      </c>
      <c r="BP58" s="810">
        <v>15.7377424098325</v>
      </c>
      <c r="BQ58" s="934">
        <v>16.4562418244736</v>
      </c>
      <c r="BR58" s="933">
        <f t="shared" si="17"/>
        <v>22.0728720146969</v>
      </c>
      <c r="BS58" s="810">
        <v>15.7565632458234</v>
      </c>
      <c r="BT58" s="810">
        <v>9.79218917950555</v>
      </c>
      <c r="BU58" s="810">
        <v>14.7116253691756</v>
      </c>
      <c r="BV58" s="810">
        <v>16.0047782864145</v>
      </c>
      <c r="BW58" s="934">
        <v>15.4003208400175</v>
      </c>
      <c r="BX58" s="933">
        <f t="shared" si="18"/>
        <v>11.309957603153</v>
      </c>
      <c r="BY58" s="810">
        <v>7.57544625043682</v>
      </c>
      <c r="BZ58" s="810">
        <v>4.05603816119173</v>
      </c>
      <c r="CA58" s="810">
        <v>17.7328149474707</v>
      </c>
      <c r="CB58" s="810">
        <v>10.9756319204545</v>
      </c>
      <c r="CC58" s="934">
        <v>10.1415569877265</v>
      </c>
      <c r="CD58" s="933">
        <f t="shared" si="21"/>
        <v>10.5805764129517</v>
      </c>
      <c r="CE58" s="810">
        <v>7.96799593359051</v>
      </c>
      <c r="CF58" s="810">
        <v>5.3607663011855</v>
      </c>
      <c r="CG58" s="810">
        <v>9.67451431715901</v>
      </c>
      <c r="CH58" s="810">
        <v>9.9254800396092</v>
      </c>
      <c r="CI58" s="934">
        <v>9.51600454033976</v>
      </c>
    </row>
    <row r="59" ht="14.25" customHeight="1" spans="1:87" x14ac:dyDescent="0.25">
      <c r="A59" s="8"/>
      <c r="B59" s="8"/>
      <c r="C59" s="8" t="s">
        <v>1109</v>
      </c>
      <c r="D59" s="8"/>
      <c r="E59" s="753">
        <f>AVERAGE(AM8:AQ75)</f>
        <v>17.45184436944251</v>
      </c>
      <c r="F59" s="753">
        <f>AVERAGE(AS8:AW75)</f>
        <v>14.789390590177238</v>
      </c>
      <c r="G59" s="753">
        <f>AVERAGE(AY8:BC75)</f>
        <v>9.073633064438093</v>
      </c>
      <c r="H59" s="753">
        <f>AVERAGE(BE8:BI75)</f>
        <v>8.246703176081793</v>
      </c>
      <c r="I59" s="75">
        <v>4</v>
      </c>
      <c r="J59" s="7">
        <v>2018</v>
      </c>
      <c r="K59" s="340" t="s">
        <v>1110</v>
      </c>
      <c r="L59" s="933">
        <v>25.9876385746049</v>
      </c>
      <c r="M59" s="810">
        <v>24.7944276844305</v>
      </c>
      <c r="N59" s="810">
        <v>40.3854464691112</v>
      </c>
      <c r="O59" s="810"/>
      <c r="P59" s="810">
        <v>58.217204526404</v>
      </c>
      <c r="Q59" s="810">
        <v>48.1797381064481</v>
      </c>
      <c r="R59" s="810">
        <v>24.0498379827698</v>
      </c>
      <c r="S59" s="810">
        <v>23.1854353034573</v>
      </c>
      <c r="T59" s="810">
        <v>31.2396333209662</v>
      </c>
      <c r="U59" s="810"/>
      <c r="V59" s="810">
        <v>42.4000512321487</v>
      </c>
      <c r="W59" s="810">
        <v>39.6988355814616</v>
      </c>
      <c r="X59" s="810">
        <v>12.1465436112492</v>
      </c>
      <c r="Y59" s="810">
        <v>12.8308059385508</v>
      </c>
      <c r="Z59" s="810">
        <v>17.5036829564969</v>
      </c>
      <c r="AA59" s="810"/>
      <c r="AB59" s="810">
        <v>15.8958650265923</v>
      </c>
      <c r="AC59" s="810">
        <v>10.7707891106201</v>
      </c>
      <c r="AD59" s="810">
        <v>11.3219028888762</v>
      </c>
      <c r="AE59" s="810">
        <v>12.066738864116</v>
      </c>
      <c r="AF59" s="810">
        <v>15.6163644140808</v>
      </c>
      <c r="AG59" s="810"/>
      <c r="AH59" s="810">
        <v>13.7731954321146</v>
      </c>
      <c r="AI59" s="810">
        <v>10.0410507724223</v>
      </c>
      <c r="AJ59" s="8"/>
      <c r="AK59" s="340" t="str">
        <f t="shared" si="11"/>
        <v>1Q19</v>
      </c>
      <c r="AL59" s="933">
        <f t="shared" si="12"/>
        <v>25.9876385746049</v>
      </c>
      <c r="AM59" s="810">
        <v>16.6817556410833</v>
      </c>
      <c r="AN59" s="810">
        <v>15.918574316111</v>
      </c>
      <c r="AO59" s="810">
        <v>15.8996603114082</v>
      </c>
      <c r="AP59" s="810">
        <v>17.4549775223724</v>
      </c>
      <c r="AQ59" s="934">
        <v>20.1709401709402</v>
      </c>
      <c r="AR59" s="933">
        <f t="shared" si="13"/>
        <v>24.0498379827698</v>
      </c>
      <c r="AS59" s="810">
        <v>17.1983567026882</v>
      </c>
      <c r="AT59" s="810">
        <v>15.7434308908353</v>
      </c>
      <c r="AU59" s="810">
        <v>15.7041231126597</v>
      </c>
      <c r="AV59" s="810">
        <v>17.745970341715</v>
      </c>
      <c r="AW59" s="934">
        <v>12.4867724867725</v>
      </c>
      <c r="AX59" s="933">
        <f t="shared" si="14"/>
        <v>12.1465436112492</v>
      </c>
      <c r="AY59" s="810">
        <v>9.95045705434438</v>
      </c>
      <c r="AZ59" s="810">
        <v>8.70357416548189</v>
      </c>
      <c r="BA59" s="810">
        <v>9.4411740744081</v>
      </c>
      <c r="BB59" s="810">
        <v>10.2711420804772</v>
      </c>
      <c r="BC59" s="934">
        <v>8.48781093666622</v>
      </c>
      <c r="BD59" s="933">
        <f t="shared" si="20"/>
        <v>11.3219028888762</v>
      </c>
      <c r="BE59" s="810">
        <v>9.93486989815585</v>
      </c>
      <c r="BF59" s="810">
        <v>9.36741340683429</v>
      </c>
      <c r="BG59" s="810">
        <v>9.33322544205644</v>
      </c>
      <c r="BH59" s="810">
        <v>9.84506720804911</v>
      </c>
      <c r="BI59" s="934">
        <v>7.50290457326061</v>
      </c>
      <c r="BJ59" s="8"/>
      <c r="BK59" s="340" t="str">
        <f t="shared" si="15"/>
        <v>1Q19</v>
      </c>
      <c r="BL59" s="933">
        <f t="shared" si="16"/>
        <v>25.9876385746049</v>
      </c>
      <c r="BM59" s="810">
        <v>14.3522461116201</v>
      </c>
      <c r="BN59" s="810">
        <v>10.1688766856749</v>
      </c>
      <c r="BO59" s="810">
        <v>19.5619707538714</v>
      </c>
      <c r="BP59" s="810">
        <v>16.9047152213896</v>
      </c>
      <c r="BQ59" s="934">
        <v>18.0135446191584</v>
      </c>
      <c r="BR59" s="933">
        <f t="shared" si="17"/>
        <v>24.0498379827698</v>
      </c>
      <c r="BS59" s="810">
        <v>14.0146991272393</v>
      </c>
      <c r="BT59" s="810">
        <v>16.0300779126653</v>
      </c>
      <c r="BU59" s="810">
        <v>14.7306384948454</v>
      </c>
      <c r="BV59" s="810">
        <v>17.1642157162912</v>
      </c>
      <c r="BW59" s="934">
        <v>16.8473483738646</v>
      </c>
      <c r="BX59" s="933">
        <f t="shared" si="18"/>
        <v>12.1465436112492</v>
      </c>
      <c r="BY59" s="810">
        <v>6.97434437524555</v>
      </c>
      <c r="BZ59" s="810">
        <v>4.08809822037653</v>
      </c>
      <c r="CA59" s="810">
        <v>14.0383531727903</v>
      </c>
      <c r="CB59" s="810">
        <v>11.5358113174269</v>
      </c>
      <c r="CC59" s="934">
        <v>10.8198573575872</v>
      </c>
      <c r="CD59" s="933">
        <f t="shared" si="21"/>
        <v>11.3219028888762</v>
      </c>
      <c r="CE59" s="810">
        <v>6.52036681165495</v>
      </c>
      <c r="CF59" s="810">
        <v>7.58448179387161</v>
      </c>
      <c r="CG59" s="810">
        <v>8.75010111273845</v>
      </c>
      <c r="CH59" s="810">
        <v>9.67800656373421</v>
      </c>
      <c r="CI59" s="934">
        <v>9.61483174381438</v>
      </c>
    </row>
    <row r="60" ht="14.25" customHeight="1" spans="1:87" x14ac:dyDescent="0.25">
      <c r="A60" s="257"/>
      <c r="B60" s="8"/>
      <c r="C60" s="8" t="s">
        <v>1111</v>
      </c>
      <c r="D60" s="8"/>
      <c r="E60" s="753">
        <f t="shared" ref="E60:H62" si="23">AVERAGE(E64,E68)</f>
        <v>16.511356338309774</v>
      </c>
      <c r="F60" s="753">
        <f t="shared" si="23"/>
        <v>14.249403727801335</v>
      </c>
      <c r="G60" s="753">
        <f t="shared" si="23"/>
        <v>8.008187979985276</v>
      </c>
      <c r="H60" s="753" t="e">
        <f t="shared" si="23"/>
        <v>#DIV/0!</v>
      </c>
      <c r="I60" s="75">
        <v>1</v>
      </c>
      <c r="J60" s="7">
        <v>2019</v>
      </c>
      <c r="K60" s="340" t="s">
        <v>1112</v>
      </c>
      <c r="L60" s="933">
        <v>28.1845096451595</v>
      </c>
      <c r="M60" s="810">
        <v>27.2823131769292</v>
      </c>
      <c r="N60" s="810">
        <v>42.9019068860747</v>
      </c>
      <c r="O60" s="810"/>
      <c r="P60" s="810">
        <v>68.2230167897826</v>
      </c>
      <c r="Q60" s="810">
        <v>43.1386491960194</v>
      </c>
      <c r="R60" s="810">
        <v>25.3916489819205</v>
      </c>
      <c r="S60" s="810">
        <v>25.607488453181</v>
      </c>
      <c r="T60" s="810">
        <v>32.6055769673514</v>
      </c>
      <c r="U60" s="810"/>
      <c r="V60" s="810">
        <v>41.7422306106964</v>
      </c>
      <c r="W60" s="810">
        <v>36.0912753587396</v>
      </c>
      <c r="X60" s="810">
        <v>12.9344315443805</v>
      </c>
      <c r="Y60" s="810">
        <v>13.9610476418338</v>
      </c>
      <c r="Z60" s="810">
        <v>18.141197133934</v>
      </c>
      <c r="AA60" s="810"/>
      <c r="AB60" s="810">
        <v>16.6412163803387</v>
      </c>
      <c r="AC60" s="810">
        <v>10.5461421254433</v>
      </c>
      <c r="AD60" s="810">
        <v>11.9522486101397</v>
      </c>
      <c r="AE60" s="810">
        <v>13.104243120085</v>
      </c>
      <c r="AF60" s="810">
        <v>16.2305922335295</v>
      </c>
      <c r="AG60" s="810"/>
      <c r="AH60" s="810">
        <v>14.8673725511199</v>
      </c>
      <c r="AI60" s="810">
        <v>10.2319791700549</v>
      </c>
      <c r="AJ60" s="8"/>
      <c r="AK60" s="340" t="str">
        <f t="shared" si="11"/>
        <v>2Q19</v>
      </c>
      <c r="AL60" s="933">
        <f t="shared" si="12"/>
        <v>28.1845096451595</v>
      </c>
      <c r="AM60" s="810">
        <v>17.7316040068742</v>
      </c>
      <c r="AN60" s="810">
        <v>17.362804075599</v>
      </c>
      <c r="AO60" s="810">
        <v>16.7017237249017</v>
      </c>
      <c r="AP60" s="810">
        <v>17.2152601301526</v>
      </c>
      <c r="AQ60" s="934">
        <v>22.3717948717949</v>
      </c>
      <c r="AR60" s="933">
        <f t="shared" si="13"/>
        <v>25.3916489819205</v>
      </c>
      <c r="AS60" s="810">
        <v>18.1945316001793</v>
      </c>
      <c r="AT60" s="810">
        <v>16.9806941660513</v>
      </c>
      <c r="AU60" s="810">
        <v>17.0676456803624</v>
      </c>
      <c r="AV60" s="810">
        <v>16.2726291811533</v>
      </c>
      <c r="AW60" s="934">
        <v>13.2868020304569</v>
      </c>
      <c r="AX60" s="933">
        <f t="shared" si="14"/>
        <v>12.9344315443805</v>
      </c>
      <c r="AY60" s="810">
        <v>10.6046500596097</v>
      </c>
      <c r="AZ60" s="810">
        <v>9.96578183599201</v>
      </c>
      <c r="BA60" s="810">
        <v>9.52725818436542</v>
      </c>
      <c r="BB60" s="810">
        <v>10.0912602544482</v>
      </c>
      <c r="BC60" s="934">
        <v>10.2362649676181</v>
      </c>
      <c r="BD60" s="933">
        <f t="shared" si="20"/>
        <v>11.9522486101397</v>
      </c>
      <c r="BE60" s="810">
        <v>10.6614615642502</v>
      </c>
      <c r="BF60" s="810">
        <v>10.2604777628974</v>
      </c>
      <c r="BG60" s="810">
        <v>10.2780637391009</v>
      </c>
      <c r="BH60" s="810">
        <v>9.71505194619394</v>
      </c>
      <c r="BI60" s="934">
        <v>9.25020942552141</v>
      </c>
      <c r="BJ60" s="8"/>
      <c r="BK60" s="340" t="str">
        <f t="shared" si="15"/>
        <v>2Q19</v>
      </c>
      <c r="BL60" s="933">
        <f t="shared" si="16"/>
        <v>28.1845096451595</v>
      </c>
      <c r="BM60" s="810">
        <v>11.9331635483082</v>
      </c>
      <c r="BN60" s="810">
        <v>11.0429443217241</v>
      </c>
      <c r="BO60" s="810">
        <v>20.8703264304204</v>
      </c>
      <c r="BP60" s="810">
        <v>17.1616901526493</v>
      </c>
      <c r="BQ60" s="934">
        <v>18.1428389425202</v>
      </c>
      <c r="BR60" s="933">
        <f t="shared" si="17"/>
        <v>25.3916489819205</v>
      </c>
      <c r="BS60" s="810">
        <v>16.8236283371873</v>
      </c>
      <c r="BT60" s="810">
        <v>16.4090568862275</v>
      </c>
      <c r="BU60" s="810">
        <v>13.793318238288</v>
      </c>
      <c r="BV60" s="810">
        <v>16.2845808786291</v>
      </c>
      <c r="BW60" s="934">
        <v>16.7740088736224</v>
      </c>
      <c r="BX60" s="933">
        <f t="shared" si="18"/>
        <v>12.9344315443805</v>
      </c>
      <c r="BY60" s="810">
        <v>5.97884227127418</v>
      </c>
      <c r="BZ60" s="810">
        <v>5.09978843482164</v>
      </c>
      <c r="CA60" s="810">
        <v>16.3952157975105</v>
      </c>
      <c r="CB60" s="810">
        <v>12.1321311527739</v>
      </c>
      <c r="CC60" s="934">
        <v>11.1062594072335</v>
      </c>
      <c r="CD60" s="933">
        <f t="shared" si="21"/>
        <v>11.9522486101397</v>
      </c>
      <c r="CE60" s="810">
        <v>7.18756391759842</v>
      </c>
      <c r="CF60" s="810">
        <v>10.405610801995</v>
      </c>
      <c r="CG60" s="810">
        <v>9.48909092212035</v>
      </c>
      <c r="CH60" s="810">
        <v>10.6121068424686</v>
      </c>
      <c r="CI60" s="934">
        <v>10.0928444397349</v>
      </c>
    </row>
    <row r="61" ht="14.25" customHeight="1" spans="1:87" x14ac:dyDescent="0.25">
      <c r="A61" s="8"/>
      <c r="B61" s="8"/>
      <c r="C61" s="8" t="s">
        <v>1113</v>
      </c>
      <c r="D61" s="8"/>
      <c r="E61" s="753">
        <f t="shared" si="23"/>
        <v>18.174451528888053</v>
      </c>
      <c r="F61" s="753">
        <f t="shared" si="23"/>
        <v>15.177675768515218</v>
      </c>
      <c r="G61" s="753">
        <f t="shared" si="23"/>
        <v>9.103387224716275</v>
      </c>
      <c r="H61" s="753">
        <f t="shared" si="23"/>
        <v>8.16731017897481</v>
      </c>
      <c r="I61" s="75">
        <v>2</v>
      </c>
      <c r="J61" s="7">
        <v>2019</v>
      </c>
      <c r="K61" s="340" t="s">
        <v>1114</v>
      </c>
      <c r="L61" s="933">
        <v>27.5831078561663</v>
      </c>
      <c r="M61" s="810">
        <v>26.5869397553817</v>
      </c>
      <c r="N61" s="810">
        <v>40.789995810158</v>
      </c>
      <c r="O61" s="810"/>
      <c r="P61" s="810">
        <v>66.1601680043018</v>
      </c>
      <c r="Q61" s="810">
        <v>44.427001027806</v>
      </c>
      <c r="R61" s="810">
        <v>24.8957736649397</v>
      </c>
      <c r="S61" s="810">
        <v>24.9245028093784</v>
      </c>
      <c r="T61" s="810">
        <v>31.6416521225098</v>
      </c>
      <c r="U61" s="810"/>
      <c r="V61" s="810">
        <v>43.1689076649987</v>
      </c>
      <c r="W61" s="810">
        <v>35.1729271547402</v>
      </c>
      <c r="X61" s="810">
        <v>12.7513400584354</v>
      </c>
      <c r="Y61" s="810">
        <v>13.71828299352</v>
      </c>
      <c r="Z61" s="810">
        <v>17.3614363321844</v>
      </c>
      <c r="AA61" s="810"/>
      <c r="AB61" s="810">
        <v>17.6374707781748</v>
      </c>
      <c r="AC61" s="810">
        <v>10.9271111270006</v>
      </c>
      <c r="AD61" s="810">
        <v>11.7810759426571</v>
      </c>
      <c r="AE61" s="810">
        <v>12.7436783511764</v>
      </c>
      <c r="AF61" s="810">
        <v>15.7294722407182</v>
      </c>
      <c r="AG61" s="810"/>
      <c r="AH61" s="810">
        <v>15.1761848762374</v>
      </c>
      <c r="AI61" s="810">
        <v>10.4370891305568</v>
      </c>
      <c r="AJ61" s="8"/>
      <c r="AK61" s="340" t="str">
        <f t="shared" si="11"/>
        <v>3Q19</v>
      </c>
      <c r="AL61" s="933">
        <f t="shared" si="12"/>
        <v>27.5831078561663</v>
      </c>
      <c r="AM61" s="810">
        <v>15.9558420569046</v>
      </c>
      <c r="AN61" s="810">
        <v>16.4547250775695</v>
      </c>
      <c r="AO61" s="810">
        <v>15.0718630779208</v>
      </c>
      <c r="AP61" s="810">
        <v>17.1537530266344</v>
      </c>
      <c r="AQ61" s="934">
        <v>20.3243243243243</v>
      </c>
      <c r="AR61" s="933">
        <f t="shared" si="13"/>
        <v>24.8957736649397</v>
      </c>
      <c r="AS61" s="810">
        <v>16.6621851752263</v>
      </c>
      <c r="AT61" s="810">
        <v>16.5153565851119</v>
      </c>
      <c r="AU61" s="810">
        <v>14.0478637498165</v>
      </c>
      <c r="AV61" s="810">
        <v>16.4813306967547</v>
      </c>
      <c r="AW61" s="934">
        <v>11.539641943734</v>
      </c>
      <c r="AX61" s="933">
        <f t="shared" si="14"/>
        <v>12.7513400584354</v>
      </c>
      <c r="AY61" s="810">
        <v>9.74219912234432</v>
      </c>
      <c r="AZ61" s="810">
        <v>9.83265391921465</v>
      </c>
      <c r="BA61" s="810">
        <v>9.13544206295131</v>
      </c>
      <c r="BB61" s="810">
        <v>10.0301823820195</v>
      </c>
      <c r="BC61" s="934">
        <v>8.55752264300847</v>
      </c>
      <c r="BD61" s="933">
        <f t="shared" si="20"/>
        <v>11.7810759426571</v>
      </c>
      <c r="BE61" s="810">
        <v>9.69462873537993</v>
      </c>
      <c r="BF61" s="810">
        <v>10.0388522239177</v>
      </c>
      <c r="BG61" s="810">
        <v>9.46400162584521</v>
      </c>
      <c r="BH61" s="810">
        <v>9.87431638480709</v>
      </c>
      <c r="BI61" s="934">
        <v>7.56791347800371</v>
      </c>
      <c r="BJ61" s="8"/>
      <c r="BK61" s="340" t="str">
        <f t="shared" si="15"/>
        <v>3Q19</v>
      </c>
      <c r="BL61" s="933">
        <f t="shared" si="16"/>
        <v>27.5831078561663</v>
      </c>
      <c r="BM61" s="810">
        <v>13.2951376349264</v>
      </c>
      <c r="BN61" s="810">
        <v>13.2763337893297</v>
      </c>
      <c r="BO61" s="810">
        <v>23.8012672954539</v>
      </c>
      <c r="BP61" s="810">
        <v>16.3799936683191</v>
      </c>
      <c r="BQ61" s="934">
        <v>16.5919433423949</v>
      </c>
      <c r="BR61" s="933">
        <f t="shared" si="17"/>
        <v>24.8957736649397</v>
      </c>
      <c r="BS61" s="810">
        <v>17.0492462311558</v>
      </c>
      <c r="BT61" s="810">
        <v>17.0952968116963</v>
      </c>
      <c r="BU61" s="810">
        <v>19.7987982155039</v>
      </c>
      <c r="BV61" s="810">
        <v>15.924489582583</v>
      </c>
      <c r="BW61" s="934">
        <v>16.0419378163413</v>
      </c>
      <c r="BX61" s="933">
        <f t="shared" si="18"/>
        <v>12.7513400584354</v>
      </c>
      <c r="BY61" s="810">
        <v>6.31985983894386</v>
      </c>
      <c r="BZ61" s="810">
        <v>4.93598776639412</v>
      </c>
      <c r="CA61" s="810">
        <v>17.3830038396827</v>
      </c>
      <c r="CB61" s="810">
        <v>11.7950653273586</v>
      </c>
      <c r="CC61" s="934">
        <v>10.3600924530421</v>
      </c>
      <c r="CD61" s="933">
        <f t="shared" si="21"/>
        <v>11.7810759426571</v>
      </c>
      <c r="CE61" s="810">
        <v>7.72124573116795</v>
      </c>
      <c r="CF61" s="810">
        <v>9.00796693986612</v>
      </c>
      <c r="CG61" s="810">
        <v>12.531851583217</v>
      </c>
      <c r="CH61" s="810">
        <v>10.499869312052</v>
      </c>
      <c r="CI61" s="934">
        <v>9.63552154678311</v>
      </c>
    </row>
    <row r="62" ht="14.25" customHeight="1" spans="1:87" x14ac:dyDescent="0.25">
      <c r="A62" s="8"/>
      <c r="B62" s="8"/>
      <c r="C62" s="8" t="s">
        <v>1115</v>
      </c>
      <c r="D62" s="8"/>
      <c r="E62" s="753">
        <f t="shared" si="23"/>
        <v>18.375615705208343</v>
      </c>
      <c r="F62" s="753">
        <f t="shared" si="23"/>
        <v>16.379830180926785</v>
      </c>
      <c r="G62" s="753">
        <f t="shared" si="23"/>
        <v>10.316037257276058</v>
      </c>
      <c r="H62" s="753">
        <f t="shared" si="23"/>
        <v>9.791613882469797</v>
      </c>
      <c r="I62" s="75">
        <v>3</v>
      </c>
      <c r="J62" s="7">
        <v>2019</v>
      </c>
      <c r="K62" s="340" t="s">
        <v>1116</v>
      </c>
      <c r="L62" s="933">
        <v>27.8280318909308</v>
      </c>
      <c r="M62" s="810">
        <v>26.4184317011907</v>
      </c>
      <c r="N62" s="810">
        <v>39.4107359202878</v>
      </c>
      <c r="O62" s="810"/>
      <c r="P62" s="810">
        <v>71.9605537976663</v>
      </c>
      <c r="Q62" s="810">
        <v>46.2517475878972</v>
      </c>
      <c r="R62" s="810">
        <v>25.7853855005754</v>
      </c>
      <c r="S62" s="810">
        <v>24.7577666739083</v>
      </c>
      <c r="T62" s="810">
        <v>30.979739816592</v>
      </c>
      <c r="U62" s="810"/>
      <c r="V62" s="810">
        <v>42.9384328358209</v>
      </c>
      <c r="W62" s="810">
        <v>38.0036261079774</v>
      </c>
      <c r="X62" s="810">
        <v>13.0023931972085</v>
      </c>
      <c r="Y62" s="810">
        <v>13.4997766135476</v>
      </c>
      <c r="Z62" s="810">
        <v>16.805382709514</v>
      </c>
      <c r="AA62" s="810"/>
      <c r="AB62" s="810">
        <v>18.2336010446281</v>
      </c>
      <c r="AC62" s="810">
        <v>11.3579505512233</v>
      </c>
      <c r="AD62" s="810">
        <v>12.1438471534514</v>
      </c>
      <c r="AE62" s="810">
        <v>12.7224228288495</v>
      </c>
      <c r="AF62" s="810">
        <v>15.3312483889655</v>
      </c>
      <c r="AG62" s="810"/>
      <c r="AH62" s="810">
        <v>15.7345229003181</v>
      </c>
      <c r="AI62" s="810">
        <v>10.9429823883526</v>
      </c>
      <c r="AJ62" s="8"/>
      <c r="AK62" s="340" t="str">
        <f t="shared" si="11"/>
        <v>4Q19</v>
      </c>
      <c r="AL62" s="933">
        <f t="shared" si="12"/>
        <v>27.8280318909308</v>
      </c>
      <c r="AM62" s="810">
        <v>18.277944487279</v>
      </c>
      <c r="AN62" s="810">
        <v>16.3813996536363</v>
      </c>
      <c r="AO62" s="810">
        <v>17.7732866493109</v>
      </c>
      <c r="AP62" s="810">
        <v>15.9479768786127</v>
      </c>
      <c r="AQ62" s="934">
        <v>20.1666666666667</v>
      </c>
      <c r="AR62" s="933">
        <f t="shared" si="13"/>
        <v>25.7853855005754</v>
      </c>
      <c r="AS62" s="810">
        <v>18.2426962337205</v>
      </c>
      <c r="AT62" s="810">
        <v>17.0502414466249</v>
      </c>
      <c r="AU62" s="810">
        <v>16.5320018157059</v>
      </c>
      <c r="AV62" s="810">
        <v>15.6193387681159</v>
      </c>
      <c r="AW62" s="934">
        <v>11.7815789473684</v>
      </c>
      <c r="AX62" s="933">
        <f t="shared" si="14"/>
        <v>13.0023931972085</v>
      </c>
      <c r="AY62" s="810">
        <v>10.9794454706282</v>
      </c>
      <c r="AZ62" s="810">
        <v>10.0118264817743</v>
      </c>
      <c r="BA62" s="810">
        <v>10.2252500521374</v>
      </c>
      <c r="BB62" s="810">
        <v>9.40471583009277</v>
      </c>
      <c r="BC62" s="934">
        <v>8.49838859338693</v>
      </c>
      <c r="BD62" s="933">
        <f t="shared" si="20"/>
        <v>12.1438471534514</v>
      </c>
      <c r="BE62" s="810">
        <v>10.5132240979169</v>
      </c>
      <c r="BF62" s="810">
        <v>10.2990498453441</v>
      </c>
      <c r="BG62" s="810">
        <v>10.3206996601051</v>
      </c>
      <c r="BH62" s="810">
        <v>9.32664018346695</v>
      </c>
      <c r="BI62" s="934">
        <v>7.73541989514516</v>
      </c>
      <c r="BJ62" s="8"/>
      <c r="BK62" s="340" t="str">
        <f t="shared" si="15"/>
        <v>4Q19</v>
      </c>
      <c r="BL62" s="933">
        <f t="shared" si="16"/>
        <v>27.8280318909308</v>
      </c>
      <c r="BM62" s="810">
        <v>11.434005530168</v>
      </c>
      <c r="BN62" s="810">
        <v>11.3671274961598</v>
      </c>
      <c r="BO62" s="810">
        <v>23.189227331859</v>
      </c>
      <c r="BP62" s="810">
        <v>14.8601513451196</v>
      </c>
      <c r="BQ62" s="934">
        <v>13.7774932517532</v>
      </c>
      <c r="BR62" s="933">
        <f t="shared" si="17"/>
        <v>25.7853855005754</v>
      </c>
      <c r="BS62" s="810">
        <v>14.0498710232158</v>
      </c>
      <c r="BT62" s="810">
        <v>13.595443689142</v>
      </c>
      <c r="BU62" s="810">
        <v>18.6196315729647</v>
      </c>
      <c r="BV62" s="810">
        <v>14.7657839073638</v>
      </c>
      <c r="BW62" s="934">
        <v>14.3278055063597</v>
      </c>
      <c r="BX62" s="933">
        <f t="shared" si="18"/>
        <v>13.0023931972085</v>
      </c>
      <c r="BY62" s="810">
        <v>5.46453209740034</v>
      </c>
      <c r="BZ62" s="810">
        <v>3.97258403706561</v>
      </c>
      <c r="CA62" s="810">
        <v>17.6965979263424</v>
      </c>
      <c r="CB62" s="810">
        <v>10.3345445475001</v>
      </c>
      <c r="CC62" s="934">
        <v>8.87964254717651</v>
      </c>
      <c r="CD62" s="933">
        <f t="shared" si="21"/>
        <v>12.1438471534514</v>
      </c>
      <c r="CE62" s="810">
        <v>6.61628996632126</v>
      </c>
      <c r="CF62" s="810">
        <v>7.12796614778785</v>
      </c>
      <c r="CG62" s="810">
        <v>9.52452171133684</v>
      </c>
      <c r="CH62" s="810">
        <v>9.32242854047568</v>
      </c>
      <c r="CI62" s="934">
        <v>8.64771655026807</v>
      </c>
    </row>
    <row r="63" ht="14.25" customHeight="1" spans="1:87" x14ac:dyDescent="0.25">
      <c r="A63" s="8"/>
      <c r="B63" s="8"/>
      <c r="C63" s="8" t="s">
        <v>1117</v>
      </c>
      <c r="D63" s="8"/>
      <c r="E63" s="753">
        <f>AVERAGE(AM8:AQ35)</f>
        <v>19.37217418639285</v>
      </c>
      <c r="F63" s="753">
        <f>AVERAGE(AS8:AW35)</f>
        <v>16.69867055372992</v>
      </c>
      <c r="G63" s="753">
        <f>AVERAGE(AY8:BC35)</f>
        <v>9.62343980262861</v>
      </c>
      <c r="H63" s="753">
        <f>AVERAGE(BE8:BI35)</f>
        <v>8.299118515323439</v>
      </c>
      <c r="I63" s="75">
        <v>4</v>
      </c>
      <c r="J63" s="7">
        <v>2019</v>
      </c>
      <c r="K63" s="340" t="s">
        <v>1118</v>
      </c>
      <c r="L63" s="933">
        <v>22.5027656276701</v>
      </c>
      <c r="M63" s="810">
        <v>21.0193236528478</v>
      </c>
      <c r="N63" s="810">
        <v>32.959704953227</v>
      </c>
      <c r="O63" s="810"/>
      <c r="P63" s="810">
        <v>49.2358113005389</v>
      </c>
      <c r="Q63" s="810">
        <v>25.3086307163171</v>
      </c>
      <c r="R63" s="810">
        <v>23.3974554739477</v>
      </c>
      <c r="S63" s="810">
        <v>22.4261276242458</v>
      </c>
      <c r="T63" s="810">
        <v>29.6189111956198</v>
      </c>
      <c r="U63" s="810"/>
      <c r="V63" s="810">
        <v>50.1874508515475</v>
      </c>
      <c r="W63" s="810">
        <v>28.5212256854451</v>
      </c>
      <c r="X63" s="810">
        <v>11.2038211008833</v>
      </c>
      <c r="Y63" s="810">
        <v>11.2137650989551</v>
      </c>
      <c r="Z63" s="810">
        <v>14.7504226738426</v>
      </c>
      <c r="AA63" s="810">
        <v>17.3763479766781</v>
      </c>
      <c r="AB63" s="810">
        <v>15.1820290580622</v>
      </c>
      <c r="AC63" s="810">
        <v>7.42960138167039</v>
      </c>
      <c r="AD63" s="810">
        <v>11.3068813279224</v>
      </c>
      <c r="AE63" s="810">
        <v>11.3367968115991</v>
      </c>
      <c r="AF63" s="810">
        <v>14.3949285867994</v>
      </c>
      <c r="AG63" s="810">
        <v>13.4271574019779</v>
      </c>
      <c r="AH63" s="810">
        <v>14.5026971608663</v>
      </c>
      <c r="AI63" s="810">
        <v>7.95812715202098</v>
      </c>
      <c r="AJ63" s="8"/>
      <c r="AK63" s="340" t="str">
        <f t="shared" si="11"/>
        <v>1Q20</v>
      </c>
      <c r="AL63" s="933">
        <f t="shared" si="12"/>
        <v>22.5027656276701</v>
      </c>
      <c r="AM63" s="810">
        <v>19.615028752299</v>
      </c>
      <c r="AN63" s="810">
        <v>18.7613513578504</v>
      </c>
      <c r="AO63" s="810">
        <v>20.3668719163684</v>
      </c>
      <c r="AP63" s="810">
        <v>14.7496426411567</v>
      </c>
      <c r="AQ63" s="934">
        <v>17.234896180104</v>
      </c>
      <c r="AR63" s="933">
        <f t="shared" si="13"/>
        <v>23.3974554739477</v>
      </c>
      <c r="AS63" s="810">
        <v>19.1136343631723</v>
      </c>
      <c r="AT63" s="810">
        <v>19.1607469048102</v>
      </c>
      <c r="AU63" s="810">
        <v>18.625486090338</v>
      </c>
      <c r="AV63" s="810">
        <v>15.184611983197</v>
      </c>
      <c r="AW63" s="934">
        <v>13.1473684210526</v>
      </c>
      <c r="AX63" s="933">
        <f t="shared" si="14"/>
        <v>11.2038211008833</v>
      </c>
      <c r="AY63" s="810">
        <v>13.2211502199879</v>
      </c>
      <c r="AZ63" s="810">
        <v>10.8983183864816</v>
      </c>
      <c r="BA63" s="810">
        <v>11.4742241395507</v>
      </c>
      <c r="BB63" s="810">
        <v>9.2205540111037</v>
      </c>
      <c r="BC63" s="934">
        <v>9.31182324640591</v>
      </c>
      <c r="BD63" s="933">
        <f t="shared" si="20"/>
        <v>11.3068813279224</v>
      </c>
      <c r="BE63" s="810">
        <v>11.1083674198787</v>
      </c>
      <c r="BF63" s="810">
        <v>10.8722348425467</v>
      </c>
      <c r="BG63" s="810">
        <v>10.7747774030119</v>
      </c>
      <c r="BH63" s="810">
        <v>9.13900902168595</v>
      </c>
      <c r="BI63" s="934">
        <v>8.28239172079743</v>
      </c>
      <c r="BJ63" s="8"/>
      <c r="BK63" s="340" t="str">
        <f t="shared" si="15"/>
        <v>1Q20</v>
      </c>
      <c r="BL63" s="933">
        <f t="shared" si="16"/>
        <v>22.5027656276701</v>
      </c>
      <c r="BM63" s="810">
        <v>13.0477246062308</v>
      </c>
      <c r="BN63" s="810">
        <v>13.0830374054452</v>
      </c>
      <c r="BO63" s="810">
        <v>30.3985335335335</v>
      </c>
      <c r="BP63" s="810">
        <v>15.1654976430214</v>
      </c>
      <c r="BQ63" s="934">
        <v>16.4267964532346</v>
      </c>
      <c r="BR63" s="933">
        <f t="shared" si="17"/>
        <v>23.3974554739477</v>
      </c>
      <c r="BS63" s="810">
        <v>14.8416684865691</v>
      </c>
      <c r="BT63" s="810">
        <v>18.0734597156398</v>
      </c>
      <c r="BU63" s="810">
        <v>23.1577580123743</v>
      </c>
      <c r="BV63" s="810">
        <v>16.1584549974664</v>
      </c>
      <c r="BW63" s="934">
        <v>15.3246131759451</v>
      </c>
      <c r="BX63" s="933">
        <f t="shared" si="18"/>
        <v>11.2038211008833</v>
      </c>
      <c r="BY63" s="810">
        <v>6.33942479775392</v>
      </c>
      <c r="BZ63" s="810">
        <v>5.39930137609857</v>
      </c>
      <c r="CA63" s="810">
        <v>29.4939880182529</v>
      </c>
      <c r="CB63" s="810">
        <v>10.9915068013633</v>
      </c>
      <c r="CC63" s="934">
        <v>10.9432052907012</v>
      </c>
      <c r="CD63" s="933">
        <f t="shared" si="21"/>
        <v>11.3068813279224</v>
      </c>
      <c r="CE63" s="810">
        <v>7.18808379009993</v>
      </c>
      <c r="CF63" s="810">
        <v>11.0027159130296</v>
      </c>
      <c r="CG63" s="810">
        <v>17.9260231275582</v>
      </c>
      <c r="CH63" s="810">
        <v>9.8729907958619</v>
      </c>
      <c r="CI63" s="934">
        <v>9.02738412772735</v>
      </c>
    </row>
    <row r="64" ht="14.25" customHeight="1" spans="1:87" x14ac:dyDescent="0.25">
      <c r="A64" s="8"/>
      <c r="B64" s="8"/>
      <c r="C64" s="8" t="s">
        <v>1119</v>
      </c>
      <c r="D64" s="8"/>
      <c r="E64" s="753">
        <f>AVERAGE(AM8:AQ19)</f>
        <v>22.394953041679578</v>
      </c>
      <c r="F64" s="753">
        <f>AVERAGE(AS8:AW19)</f>
        <v>19.063007806196822</v>
      </c>
      <c r="G64" s="753">
        <f>AVERAGE(AY8:BC19)</f>
        <v>10.384988120065191</v>
      </c>
      <c r="H64" s="753" t="e">
        <f>AVERAGE(BE8:BI19)</f>
        <v>#DIV/0!</v>
      </c>
      <c r="I64" s="75">
        <v>1</v>
      </c>
      <c r="J64" s="7">
        <v>2020</v>
      </c>
      <c r="K64" s="340" t="s">
        <v>1120</v>
      </c>
      <c r="L64" s="933">
        <v>24.3627673965896</v>
      </c>
      <c r="M64" s="810">
        <v>24.2525748467068</v>
      </c>
      <c r="N64" s="810">
        <v>39.5752256302647</v>
      </c>
      <c r="O64" s="810"/>
      <c r="P64" s="810">
        <v>63.0168024655384</v>
      </c>
      <c r="Q64" s="810">
        <v>26.9737300693231</v>
      </c>
      <c r="R64" s="810">
        <v>26.953069060941</v>
      </c>
      <c r="S64" s="810">
        <v>26.3173828369288</v>
      </c>
      <c r="T64" s="810">
        <v>36.425946925999</v>
      </c>
      <c r="U64" s="810"/>
      <c r="V64" s="810">
        <v>81.2793288380952</v>
      </c>
      <c r="W64" s="810">
        <v>45.5549167657344</v>
      </c>
      <c r="X64" s="810">
        <v>11.8703085944255</v>
      </c>
      <c r="Y64" s="810">
        <v>12.5187923282309</v>
      </c>
      <c r="Z64" s="810">
        <v>16.9248906219468</v>
      </c>
      <c r="AA64" s="810">
        <v>14.8637160474222</v>
      </c>
      <c r="AB64" s="810">
        <v>18.6303825319399</v>
      </c>
      <c r="AC64" s="810">
        <v>8.10666989020818</v>
      </c>
      <c r="AD64" s="810">
        <v>12.3378838860409</v>
      </c>
      <c r="AE64" s="810">
        <v>12.9053095788276</v>
      </c>
      <c r="AF64" s="810">
        <v>17.1822193438633</v>
      </c>
      <c r="AG64" s="810">
        <v>11.0558427720445</v>
      </c>
      <c r="AH64" s="810">
        <v>19.2319447340411</v>
      </c>
      <c r="AI64" s="810">
        <v>9.74756326282717</v>
      </c>
      <c r="AJ64" s="8"/>
      <c r="AK64" s="340" t="str">
        <f t="shared" si="11"/>
        <v>2Q20</v>
      </c>
      <c r="AL64" s="933">
        <f t="shared" si="12"/>
        <v>24.3627673965896</v>
      </c>
      <c r="AM64" s="810">
        <v>19.997181435646</v>
      </c>
      <c r="AN64" s="810">
        <v>18.5234169124132</v>
      </c>
      <c r="AO64" s="810">
        <v>20.0561270625894</v>
      </c>
      <c r="AP64" s="810">
        <v>14.1064396750783</v>
      </c>
      <c r="AQ64" s="934">
        <v>17.5591716486648</v>
      </c>
      <c r="AR64" s="933">
        <f t="shared" si="13"/>
        <v>26.953069060941</v>
      </c>
      <c r="AS64" s="810">
        <v>18.771186440678</v>
      </c>
      <c r="AT64" s="810">
        <v>19.3715740015662</v>
      </c>
      <c r="AU64" s="810">
        <v>17.4289368959636</v>
      </c>
      <c r="AV64" s="810">
        <v>14.0337570772353</v>
      </c>
      <c r="AW64" s="934">
        <v>13.0179028132992</v>
      </c>
      <c r="AX64" s="933">
        <f t="shared" si="14"/>
        <v>11.8703085944255</v>
      </c>
      <c r="AY64" s="810">
        <v>13.616533231839</v>
      </c>
      <c r="AZ64" s="810">
        <v>11.6710392592365</v>
      </c>
      <c r="BA64" s="810">
        <v>11.2373280992404</v>
      </c>
      <c r="BB64" s="810">
        <v>8.56363917869938</v>
      </c>
      <c r="BC64" s="934">
        <v>9.4807678314934</v>
      </c>
      <c r="BD64" s="933">
        <f t="shared" si="20"/>
        <v>12.3378838860409</v>
      </c>
      <c r="BE64" s="810">
        <v>11.3551193037914</v>
      </c>
      <c r="BF64" s="810">
        <v>11.8464347473426</v>
      </c>
      <c r="BG64" s="810">
        <v>10.6119302617015</v>
      </c>
      <c r="BH64" s="810">
        <v>8.65438152874439</v>
      </c>
      <c r="BI64" s="934">
        <v>8.23791084216744</v>
      </c>
      <c r="BJ64" s="8"/>
      <c r="BK64" s="340" t="str">
        <f t="shared" si="15"/>
        <v>2Q20</v>
      </c>
      <c r="BL64" s="933">
        <f t="shared" si="16"/>
        <v>24.3627673965896</v>
      </c>
      <c r="BM64" s="810">
        <v>19.3842278637006</v>
      </c>
      <c r="BN64" s="810">
        <v>13.9084771978835</v>
      </c>
      <c r="BO64" s="810">
        <v>33.2283092526121</v>
      </c>
      <c r="BP64" s="810">
        <v>16.0444901612988</v>
      </c>
      <c r="BQ64" s="934">
        <v>17.1915824104522</v>
      </c>
      <c r="BR64" s="933">
        <f t="shared" si="17"/>
        <v>26.953069060941</v>
      </c>
      <c r="BS64" s="810">
        <v>20.9756097560976</v>
      </c>
      <c r="BT64" s="810">
        <v>18.8101636941119</v>
      </c>
      <c r="BU64" s="810">
        <v>20.2774930364963</v>
      </c>
      <c r="BV64" s="810">
        <v>16.1550617991588</v>
      </c>
      <c r="BW64" s="934">
        <v>15.4</v>
      </c>
      <c r="BX64" s="933">
        <f t="shared" si="18"/>
        <v>11.8703085944255</v>
      </c>
      <c r="BY64" s="810">
        <v>8.81085885582038</v>
      </c>
      <c r="BZ64" s="810">
        <v>5.73087440673644</v>
      </c>
      <c r="CA64" s="810">
        <v>31.5176125920062</v>
      </c>
      <c r="CB64" s="810">
        <v>11.8960133684471</v>
      </c>
      <c r="CC64" s="934">
        <v>11.3467411692216</v>
      </c>
      <c r="CD64" s="933">
        <f t="shared" si="21"/>
        <v>12.3378838860409</v>
      </c>
      <c r="CE64" s="810">
        <v>8.60068479534296</v>
      </c>
      <c r="CF64" s="810">
        <v>11.0552448111699</v>
      </c>
      <c r="CG64" s="810">
        <v>18.195775926978</v>
      </c>
      <c r="CH64" s="810">
        <v>10.8988073314454</v>
      </c>
      <c r="CI64" s="934">
        <v>9.39712296346382</v>
      </c>
    </row>
    <row r="65" ht="14.25" customHeight="1" spans="1:87" x14ac:dyDescent="0.25">
      <c r="A65" s="8"/>
      <c r="B65" s="8"/>
      <c r="C65" s="8" t="s">
        <v>1121</v>
      </c>
      <c r="D65" s="8"/>
      <c r="E65" s="753">
        <f>AVERAGE(AM16:AQ27)</f>
        <v>19.262472338714346</v>
      </c>
      <c r="F65" s="753">
        <f>AVERAGE(AS16:AW27)</f>
        <v>17.294949146403418</v>
      </c>
      <c r="G65" s="753">
        <f>AVERAGE(AY16:BC27)</f>
        <v>9.817765530907938</v>
      </c>
      <c r="H65" s="753">
        <f>AVERAGE(BE16:BI27)</f>
        <v>8.656236152701716</v>
      </c>
      <c r="I65" s="75">
        <v>2</v>
      </c>
      <c r="J65" s="7">
        <v>2020</v>
      </c>
      <c r="K65" s="340" t="s">
        <v>1122</v>
      </c>
      <c r="L65" s="933">
        <v>27.5434299551545</v>
      </c>
      <c r="M65" s="810">
        <v>27.3706695353831</v>
      </c>
      <c r="N65" s="810">
        <v>45.4020773856102</v>
      </c>
      <c r="O65" s="810"/>
      <c r="P65" s="810">
        <v>68.1793489207887</v>
      </c>
      <c r="Q65" s="810">
        <v>26.8848548011514</v>
      </c>
      <c r="R65" s="810">
        <v>27.424006668251</v>
      </c>
      <c r="S65" s="810">
        <v>27.132621522156</v>
      </c>
      <c r="T65" s="810">
        <v>36.5143990820235</v>
      </c>
      <c r="U65" s="810"/>
      <c r="V65" s="810">
        <v>65.7057527369644</v>
      </c>
      <c r="W65" s="810">
        <v>33.5179751580527</v>
      </c>
      <c r="X65" s="810">
        <v>12.9967794300958</v>
      </c>
      <c r="Y65" s="810">
        <v>13.4705725488933</v>
      </c>
      <c r="Z65" s="810">
        <v>18.7990719427407</v>
      </c>
      <c r="AA65" s="810">
        <v>15.011540625183</v>
      </c>
      <c r="AB65" s="810">
        <v>19.3583383526129</v>
      </c>
      <c r="AC65" s="810">
        <v>7.76216448144904</v>
      </c>
      <c r="AD65" s="810">
        <v>12.7321951519237</v>
      </c>
      <c r="AE65" s="810">
        <v>13.1778010058734</v>
      </c>
      <c r="AF65" s="810">
        <v>17.8586386735233</v>
      </c>
      <c r="AG65" s="810">
        <v>11.0749232841393</v>
      </c>
      <c r="AH65" s="810">
        <v>18.8330463978847</v>
      </c>
      <c r="AI65" s="810">
        <v>8.60456986607439</v>
      </c>
      <c r="AJ65" s="8"/>
      <c r="AK65" s="340" t="str">
        <f t="shared" si="11"/>
        <v>3Q20</v>
      </c>
      <c r="AL65" s="933">
        <f t="shared" si="12"/>
        <v>27.5434299551545</v>
      </c>
      <c r="AM65" s="810">
        <v>22.4753291670761</v>
      </c>
      <c r="AN65" s="810">
        <v>20.5933531682246</v>
      </c>
      <c r="AO65" s="810">
        <v>22.0344570609292</v>
      </c>
      <c r="AP65" s="810">
        <v>15.0484698200582</v>
      </c>
      <c r="AQ65" s="934">
        <v>17.710061951419</v>
      </c>
      <c r="AR65" s="933">
        <f t="shared" si="13"/>
        <v>27.424006668251</v>
      </c>
      <c r="AS65" s="810">
        <v>20.9585339076092</v>
      </c>
      <c r="AT65" s="810">
        <v>20.7874310296456</v>
      </c>
      <c r="AU65" s="810">
        <v>19.0193060996083</v>
      </c>
      <c r="AV65" s="810">
        <v>14.6337362059905</v>
      </c>
      <c r="AW65" s="934">
        <v>13.4704370179949</v>
      </c>
      <c r="AX65" s="933">
        <f t="shared" si="14"/>
        <v>12.9967794300958</v>
      </c>
      <c r="AY65" s="810">
        <v>14.9640761354733</v>
      </c>
      <c r="AZ65" s="810">
        <v>13.0378810681472</v>
      </c>
      <c r="BA65" s="810">
        <v>13.237373175453</v>
      </c>
      <c r="BB65" s="810">
        <v>9.442933434653</v>
      </c>
      <c r="BC65" s="934">
        <v>9.66265067327401</v>
      </c>
      <c r="BD65" s="933">
        <f t="shared" si="20"/>
        <v>12.7321951519237</v>
      </c>
      <c r="BE65" s="810">
        <v>12.7003470026881</v>
      </c>
      <c r="BF65" s="810">
        <v>13.2737408297492</v>
      </c>
      <c r="BG65" s="810">
        <v>11.9112839944216</v>
      </c>
      <c r="BH65" s="810">
        <v>9.298047334579</v>
      </c>
      <c r="BI65" s="934">
        <v>8.67811593573978</v>
      </c>
      <c r="BJ65" s="8"/>
      <c r="BK65" s="340" t="str">
        <f t="shared" si="15"/>
        <v>3Q20</v>
      </c>
      <c r="BL65" s="933">
        <f t="shared" si="16"/>
        <v>27.5434299551545</v>
      </c>
      <c r="BM65" s="810">
        <v>20.8351025718613</v>
      </c>
      <c r="BN65" s="810">
        <v>15.761428299699</v>
      </c>
      <c r="BO65" s="810">
        <v>32.4832851404415</v>
      </c>
      <c r="BP65" s="810">
        <v>16.1655282015733</v>
      </c>
      <c r="BQ65" s="934">
        <v>17.8036123538146</v>
      </c>
      <c r="BR65" s="933">
        <f t="shared" si="17"/>
        <v>27.424006668251</v>
      </c>
      <c r="BS65" s="810">
        <v>21.3368983957219</v>
      </c>
      <c r="BT65" s="810">
        <v>20.8168507577704</v>
      </c>
      <c r="BU65" s="810">
        <v>20.1064412438538</v>
      </c>
      <c r="BV65" s="810">
        <v>16.6346587750649</v>
      </c>
      <c r="BW65" s="934">
        <v>15.6780308821281</v>
      </c>
      <c r="BX65" s="933">
        <f t="shared" si="18"/>
        <v>12.9967794300958</v>
      </c>
      <c r="BY65" s="810">
        <v>9.59620619474839</v>
      </c>
      <c r="BZ65" s="810">
        <v>5.11271417938661</v>
      </c>
      <c r="CA65" s="810">
        <v>26.051184266847</v>
      </c>
      <c r="CB65" s="810">
        <v>12.257617505758</v>
      </c>
      <c r="CC65" s="934">
        <v>11.6439186851917</v>
      </c>
      <c r="CD65" s="933">
        <f t="shared" si="21"/>
        <v>12.7321951519237</v>
      </c>
      <c r="CE65" s="810">
        <v>9.44670346922164</v>
      </c>
      <c r="CF65" s="810">
        <v>9.34153896504469</v>
      </c>
      <c r="CG65" s="810">
        <v>17.7225201444995</v>
      </c>
      <c r="CH65" s="810">
        <v>11.4820845836601</v>
      </c>
      <c r="CI65" s="934">
        <v>9.58550665782812</v>
      </c>
    </row>
    <row r="66" ht="14.25" customHeight="1" spans="1:87" x14ac:dyDescent="0.25">
      <c r="A66" s="8"/>
      <c r="B66" s="8"/>
      <c r="C66" s="8" t="s">
        <v>1123</v>
      </c>
      <c r="D66" s="8"/>
      <c r="E66" s="753">
        <f>AVERAGE(AM24:AQ35)</f>
        <v>17.224511078395345</v>
      </c>
      <c r="F66" s="753">
        <f>AVERAGE(AS24:AW35)</f>
        <v>14.896640295870613</v>
      </c>
      <c r="G66" s="753">
        <f>AVERAGE(AY24:BC35)</f>
        <v>8.930783889608419</v>
      </c>
      <c r="H66" s="753">
        <f>AVERAGE(BE24:BI35)</f>
        <v>8.288132003821932</v>
      </c>
      <c r="I66" s="75">
        <v>3</v>
      </c>
      <c r="J66" s="7">
        <v>2020</v>
      </c>
      <c r="K66" s="340" t="s">
        <v>1124</v>
      </c>
      <c r="L66" s="933">
        <v>27.7106752282965</v>
      </c>
      <c r="M66" s="810">
        <v>28.8330640649999</v>
      </c>
      <c r="N66" s="810">
        <v>45.2971474323446</v>
      </c>
      <c r="O66" s="810"/>
      <c r="P66" s="810">
        <v>68.753731790527</v>
      </c>
      <c r="Q66" s="810">
        <v>36.7369125352525</v>
      </c>
      <c r="R66" s="810">
        <v>25.9787556904401</v>
      </c>
      <c r="S66" s="810">
        <v>25.463967611336</v>
      </c>
      <c r="T66" s="810">
        <v>34.1615320566195</v>
      </c>
      <c r="U66" s="810">
        <v>552.702127659575</v>
      </c>
      <c r="V66" s="810">
        <v>65.4862579281184</v>
      </c>
      <c r="W66" s="810">
        <v>36.7455335586673</v>
      </c>
      <c r="X66" s="810">
        <v>13.1463330413204</v>
      </c>
      <c r="Y66" s="810">
        <v>13.8509182461442</v>
      </c>
      <c r="Z66" s="810">
        <v>18.6778555061716</v>
      </c>
      <c r="AA66" s="810">
        <v>16.9733992705152</v>
      </c>
      <c r="AB66" s="810">
        <v>21.6799119349825</v>
      </c>
      <c r="AC66" s="810">
        <v>9.48431025048191</v>
      </c>
      <c r="AD66" s="810">
        <v>12.4304035863594</v>
      </c>
      <c r="AE66" s="810">
        <v>12.174231335765</v>
      </c>
      <c r="AF66" s="810">
        <v>17.0943184633517</v>
      </c>
      <c r="AG66" s="810">
        <v>11.8160178961135</v>
      </c>
      <c r="AH66" s="810">
        <v>19.6719722280983</v>
      </c>
      <c r="AI66" s="810">
        <v>9.62316334461821</v>
      </c>
      <c r="AJ66" s="8"/>
      <c r="AK66" s="340" t="str">
        <f t="shared" si="11"/>
        <v>4Q20</v>
      </c>
      <c r="AL66" s="933">
        <f t="shared" si="12"/>
        <v>27.7106752282965</v>
      </c>
      <c r="AM66" s="810">
        <v>20.2185342524169</v>
      </c>
      <c r="AN66" s="810">
        <v>18.7777991734784</v>
      </c>
      <c r="AO66" s="810">
        <v>19.449682429963</v>
      </c>
      <c r="AP66" s="810">
        <v>16.5720222908439</v>
      </c>
      <c r="AQ66" s="934">
        <v>17.710061951419</v>
      </c>
      <c r="AR66" s="933">
        <f t="shared" si="13"/>
        <v>25.9787556904401</v>
      </c>
      <c r="AS66" s="810">
        <v>19.8855246785566</v>
      </c>
      <c r="AT66" s="810">
        <v>19.3392389044563</v>
      </c>
      <c r="AU66" s="810">
        <v>18.3909754120508</v>
      </c>
      <c r="AV66" s="810">
        <v>15.9416418370492</v>
      </c>
      <c r="AW66" s="934">
        <v>13.3333333333333</v>
      </c>
      <c r="AX66" s="933">
        <f t="shared" si="14"/>
        <v>13.1463330413204</v>
      </c>
      <c r="AY66" s="810">
        <v>13.1266307559514</v>
      </c>
      <c r="AZ66" s="810">
        <v>12.3867992139277</v>
      </c>
      <c r="BA66" s="810">
        <v>11.4662626507386</v>
      </c>
      <c r="BB66" s="810">
        <v>10.68778808114</v>
      </c>
      <c r="BC66" s="934">
        <v>9.66678091753156</v>
      </c>
      <c r="BD66" s="933">
        <f t="shared" si="20"/>
        <v>12.4304035863594</v>
      </c>
      <c r="BE66" s="810">
        <v>12.4195386896497</v>
      </c>
      <c r="BF66" s="810">
        <v>12.6633183328757</v>
      </c>
      <c r="BG66" s="810">
        <v>11.5418562781193</v>
      </c>
      <c r="BH66" s="810">
        <v>10.2055491446263</v>
      </c>
      <c r="BI66" s="934">
        <v>8.58308292297046</v>
      </c>
      <c r="BJ66" s="8"/>
      <c r="BK66" s="340" t="str">
        <f t="shared" si="15"/>
        <v>4Q20</v>
      </c>
      <c r="BL66" s="933">
        <f t="shared" si="16"/>
        <v>27.7106752282965</v>
      </c>
      <c r="BM66" s="810">
        <v>25.8159566866585</v>
      </c>
      <c r="BN66" s="810">
        <v>17.0264463502361</v>
      </c>
      <c r="BO66" s="810">
        <v>29.0251668717398</v>
      </c>
      <c r="BP66" s="810">
        <v>16.2119049357539</v>
      </c>
      <c r="BQ66" s="934">
        <v>17.3509445420435</v>
      </c>
      <c r="BR66" s="933">
        <f t="shared" si="17"/>
        <v>25.9787556904401</v>
      </c>
      <c r="BS66" s="810">
        <v>25.1758366420873</v>
      </c>
      <c r="BT66" s="810">
        <v>19.871944121071</v>
      </c>
      <c r="BU66" s="810">
        <v>18.9310282367021</v>
      </c>
      <c r="BV66" s="810">
        <v>16.6382797367085</v>
      </c>
      <c r="BW66" s="934">
        <v>15.468940316687</v>
      </c>
      <c r="BX66" s="933">
        <f t="shared" si="18"/>
        <v>13.1463330413204</v>
      </c>
      <c r="BY66" s="810">
        <v>12.1990038422253</v>
      </c>
      <c r="BZ66" s="810">
        <v>5.03332491979714</v>
      </c>
      <c r="CA66" s="810">
        <v>24.0965972999172</v>
      </c>
      <c r="CB66" s="810">
        <v>12.3276969312074</v>
      </c>
      <c r="CC66" s="934">
        <v>11.5890282932563</v>
      </c>
      <c r="CD66" s="933">
        <f t="shared" si="21"/>
        <v>12.4304035863594</v>
      </c>
      <c r="CE66" s="810">
        <v>10.9486870372588</v>
      </c>
      <c r="CF66" s="810">
        <v>8.42518492172013</v>
      </c>
      <c r="CG66" s="810">
        <v>16.1964084418045</v>
      </c>
      <c r="CH66" s="810">
        <v>11.2866211924263</v>
      </c>
      <c r="CI66" s="934">
        <v>9.39984198094617</v>
      </c>
    </row>
    <row r="67" ht="14.25" customHeight="1" spans="1:87" x14ac:dyDescent="0.25">
      <c r="A67" s="8"/>
      <c r="B67" s="8"/>
      <c r="C67" s="8" t="s">
        <v>1125</v>
      </c>
      <c r="D67" s="8"/>
      <c r="E67" s="753">
        <f>AVERAGE(AM36:AQ75)</f>
        <v>16.187707655771675</v>
      </c>
      <c r="F67" s="753">
        <f>AVERAGE(AS36:AW75)</f>
        <v>13.567451413503498</v>
      </c>
      <c r="G67" s="753">
        <f>AVERAGE(AY36:BC75)</f>
        <v>8.694266415086647</v>
      </c>
      <c r="H67" s="753">
        <f>AVERAGE(BE36:BI75)</f>
        <v>8.227833653954802</v>
      </c>
      <c r="I67" s="75">
        <v>4</v>
      </c>
      <c r="J67" s="7">
        <v>2020</v>
      </c>
      <c r="K67" s="340" t="s">
        <v>1126</v>
      </c>
      <c r="L67" s="933">
        <v>27.9586813745934</v>
      </c>
      <c r="M67" s="810">
        <v>32.0111709111696</v>
      </c>
      <c r="N67" s="810">
        <v>47.9141290770606</v>
      </c>
      <c r="O67" s="810"/>
      <c r="P67" s="810">
        <v>74.7848039913463</v>
      </c>
      <c r="Q67" s="810">
        <v>33.9050046787777</v>
      </c>
      <c r="R67" s="810">
        <v>26.1190203409134</v>
      </c>
      <c r="S67" s="810">
        <v>26.6222566798709</v>
      </c>
      <c r="T67" s="810">
        <v>34.4115228358531</v>
      </c>
      <c r="U67" s="810">
        <v>194.400296718933</v>
      </c>
      <c r="V67" s="810">
        <v>75.0276466403673</v>
      </c>
      <c r="W67" s="810">
        <v>34.7044984107953</v>
      </c>
      <c r="X67" s="810">
        <v>13.576237713361</v>
      </c>
      <c r="Y67" s="810">
        <v>15.670140249632</v>
      </c>
      <c r="Z67" s="810">
        <v>19.6743308687448</v>
      </c>
      <c r="AA67" s="810">
        <v>19.7431527830408</v>
      </c>
      <c r="AB67" s="810">
        <v>21.1965749920945</v>
      </c>
      <c r="AC67" s="810">
        <v>10.0814633290354</v>
      </c>
      <c r="AD67" s="810">
        <v>12.698015013189</v>
      </c>
      <c r="AE67" s="810">
        <v>13.7513740663108</v>
      </c>
      <c r="AF67" s="810">
        <v>17.5308037391662</v>
      </c>
      <c r="AG67" s="810">
        <v>14.9586225435684</v>
      </c>
      <c r="AH67" s="810">
        <v>18.8504298879917</v>
      </c>
      <c r="AI67" s="810">
        <v>9.819119673341</v>
      </c>
      <c r="AJ67" s="8"/>
      <c r="AK67" s="340" t="str">
        <f t="shared" si="11"/>
        <v>1Q21</v>
      </c>
      <c r="AL67" s="933">
        <f t="shared" si="12"/>
        <v>27.9586813745934</v>
      </c>
      <c r="AM67" s="810">
        <v>20.6688097373794</v>
      </c>
      <c r="AN67" s="810">
        <v>15.9005325905884</v>
      </c>
      <c r="AO67" s="810">
        <v>20.3173920023305</v>
      </c>
      <c r="AP67" s="810">
        <v>20.0069524913094</v>
      </c>
      <c r="AQ67" s="934">
        <v>20.5307092900158</v>
      </c>
      <c r="AR67" s="933">
        <f t="shared" si="13"/>
        <v>26.1190203409134</v>
      </c>
      <c r="AS67" s="810">
        <v>20.4015998693984</v>
      </c>
      <c r="AT67" s="810">
        <v>19.8956372968349</v>
      </c>
      <c r="AU67" s="810">
        <v>19.1117092866756</v>
      </c>
      <c r="AV67" s="810">
        <v>17.6399673069064</v>
      </c>
      <c r="AW67" s="934">
        <v>14.7506234413965</v>
      </c>
      <c r="AX67" s="933">
        <f t="shared" si="14"/>
        <v>13.576237713361</v>
      </c>
      <c r="AY67" s="810">
        <v>12.0747234053077</v>
      </c>
      <c r="AZ67" s="810">
        <v>12.1950184249163</v>
      </c>
      <c r="BA67" s="810">
        <v>11.5692583860062</v>
      </c>
      <c r="BB67" s="810">
        <v>12.9286714914712</v>
      </c>
      <c r="BC67" s="934">
        <v>10.2228268024595</v>
      </c>
      <c r="BD67" s="933">
        <f t="shared" si="20"/>
        <v>12.698015013189</v>
      </c>
      <c r="BE67" s="810">
        <v>11.8871481239925</v>
      </c>
      <c r="BF67" s="810">
        <v>11.9642585493331</v>
      </c>
      <c r="BG67" s="810">
        <v>11.817655580723</v>
      </c>
      <c r="BH67" s="810">
        <v>11.2019939501488</v>
      </c>
      <c r="BI67" s="934">
        <v>8.84252885876577</v>
      </c>
      <c r="BJ67" s="8"/>
      <c r="BK67" s="340" t="str">
        <f t="shared" si="15"/>
        <v>1Q21</v>
      </c>
      <c r="BL67" s="933">
        <f t="shared" si="16"/>
        <v>27.9586813745934</v>
      </c>
      <c r="BM67" s="810">
        <v>28.0660341670828</v>
      </c>
      <c r="BN67" s="810">
        <v>21.3074203339458</v>
      </c>
      <c r="BO67" s="810">
        <v>26.8891031283749</v>
      </c>
      <c r="BP67" s="810">
        <v>16.4232739479797</v>
      </c>
      <c r="BQ67" s="934">
        <v>17.1725751374574</v>
      </c>
      <c r="BR67" s="933">
        <f t="shared" si="17"/>
        <v>26.1190203409134</v>
      </c>
      <c r="BS67" s="810">
        <v>28.4565817735502</v>
      </c>
      <c r="BT67" s="810">
        <v>23.0824372759857</v>
      </c>
      <c r="BU67" s="810">
        <v>20.3453075954454</v>
      </c>
      <c r="BV67" s="810">
        <v>16.8010938278978</v>
      </c>
      <c r="BW67" s="934">
        <v>16.6116078193666</v>
      </c>
      <c r="BX67" s="933">
        <f t="shared" si="18"/>
        <v>13.576237713361</v>
      </c>
      <c r="BY67" s="810">
        <v>13.7639728827608</v>
      </c>
      <c r="BZ67" s="810">
        <v>7.55049031920011</v>
      </c>
      <c r="CA67" s="810">
        <v>23.1210793402323</v>
      </c>
      <c r="CB67" s="810">
        <v>12.2357248665092</v>
      </c>
      <c r="CC67" s="934">
        <v>10.7451877747124</v>
      </c>
      <c r="CD67" s="933">
        <f t="shared" si="21"/>
        <v>12.698015013189</v>
      </c>
      <c r="CE67" s="810">
        <v>11.1463692074734</v>
      </c>
      <c r="CF67" s="810">
        <v>12.6304413193167</v>
      </c>
      <c r="CG67" s="810">
        <v>16.374575188528</v>
      </c>
      <c r="CH67" s="810">
        <v>10.8915082737996</v>
      </c>
      <c r="CI67" s="934">
        <v>10.1995281174228</v>
      </c>
    </row>
    <row r="68" ht="14.25" customHeight="1" spans="1:87" x14ac:dyDescent="0.25">
      <c r="A68" s="8"/>
      <c r="B68" s="8"/>
      <c r="C68" s="8" t="s">
        <v>1127</v>
      </c>
      <c r="D68" s="8"/>
      <c r="E68" s="753">
        <f>AVERAGE(AM36:AQ51)</f>
        <v>10.627759634939974</v>
      </c>
      <c r="F68" s="753">
        <f>AVERAGE(AS36:AW51)</f>
        <v>9.435799649405848</v>
      </c>
      <c r="G68" s="753">
        <f>AVERAGE(AY36:BC51)</f>
        <v>5.631387839905361</v>
      </c>
      <c r="H68" s="753">
        <f>AVERAGE(BE36:BI51)</f>
        <v>5.4314602700251715</v>
      </c>
      <c r="I68" s="75">
        <v>1</v>
      </c>
      <c r="J68" s="7">
        <v>2021</v>
      </c>
      <c r="K68" s="340" t="s">
        <v>1128</v>
      </c>
      <c r="L68" s="933">
        <v>31.8505822336231</v>
      </c>
      <c r="M68" s="810">
        <v>33.6845314169381</v>
      </c>
      <c r="N68" s="810">
        <v>51.5543576231209</v>
      </c>
      <c r="O68" s="810"/>
      <c r="P68" s="810">
        <v>70.0565046630705</v>
      </c>
      <c r="Q68" s="810">
        <v>39.3994398460571</v>
      </c>
      <c r="R68" s="810">
        <v>27.5428474417576</v>
      </c>
      <c r="S68" s="810">
        <v>27.2534350860613</v>
      </c>
      <c r="T68" s="810">
        <v>36.0243967926597</v>
      </c>
      <c r="U68" s="810">
        <v>508.305799648511</v>
      </c>
      <c r="V68" s="810">
        <v>70.3159547586073</v>
      </c>
      <c r="W68" s="810">
        <v>33.9652225249773</v>
      </c>
      <c r="X68" s="810">
        <v>14.2728669935573</v>
      </c>
      <c r="Y68" s="810">
        <v>16.1436800367263</v>
      </c>
      <c r="Z68" s="810">
        <v>20.9291749815076</v>
      </c>
      <c r="AA68" s="810">
        <v>17.2155881095907</v>
      </c>
      <c r="AB68" s="810">
        <v>20.6402634114818</v>
      </c>
      <c r="AC68" s="810">
        <v>10.7931747670693</v>
      </c>
      <c r="AD68" s="810">
        <v>13.1055816921064</v>
      </c>
      <c r="AE68" s="810">
        <v>14.1295077437816</v>
      </c>
      <c r="AF68" s="810">
        <v>18.0752982775321</v>
      </c>
      <c r="AG68" s="810">
        <v>13.721245157544</v>
      </c>
      <c r="AH68" s="810">
        <v>18.3192306695921</v>
      </c>
      <c r="AI68" s="810">
        <v>10.0731456098499</v>
      </c>
      <c r="AJ68" s="8"/>
      <c r="AK68" s="340" t="str">
        <f t="shared" si="11"/>
        <v>2Q21</v>
      </c>
      <c r="AL68" s="933">
        <f t="shared" si="12"/>
        <v>31.8505822336231</v>
      </c>
      <c r="AM68" s="810">
        <v>21.5919408806849</v>
      </c>
      <c r="AN68" s="810">
        <v>16.3220713054363</v>
      </c>
      <c r="AO68" s="810">
        <v>20.9216903189234</v>
      </c>
      <c r="AP68" s="810">
        <v>20.7308970099668</v>
      </c>
      <c r="AQ68" s="934">
        <v>22.3008972423248</v>
      </c>
      <c r="AR68" s="933">
        <f t="shared" si="13"/>
        <v>27.5428474417576</v>
      </c>
      <c r="AS68" s="810">
        <v>21.1090952118009</v>
      </c>
      <c r="AT68" s="810">
        <v>20.0168321831342</v>
      </c>
      <c r="AU68" s="810">
        <v>20.5969746083198</v>
      </c>
      <c r="AV68" s="810">
        <v>19.1940941248847</v>
      </c>
      <c r="AW68" s="934">
        <v>14.7025171624714</v>
      </c>
      <c r="AX68" s="933">
        <f t="shared" si="14"/>
        <v>14.2728669935573</v>
      </c>
      <c r="AY68" s="810">
        <v>12.2299186581744</v>
      </c>
      <c r="AZ68" s="810">
        <v>12.2332703953318</v>
      </c>
      <c r="BA68" s="810">
        <v>11.5069141760127</v>
      </c>
      <c r="BB68" s="810">
        <v>13.5947942570683</v>
      </c>
      <c r="BC68" s="934">
        <v>11.0410116059098</v>
      </c>
      <c r="BD68" s="933">
        <f t="shared" si="20"/>
        <v>13.1055816921064</v>
      </c>
      <c r="BE68" s="810">
        <v>12.6639328350543</v>
      </c>
      <c r="BF68" s="810">
        <v>12.5960409466614</v>
      </c>
      <c r="BG68" s="810">
        <v>12.3328687695918</v>
      </c>
      <c r="BH68" s="810">
        <v>12.4744740331326</v>
      </c>
      <c r="BI68" s="934">
        <v>9.49871843920386</v>
      </c>
      <c r="BJ68" s="8"/>
      <c r="BK68" s="340" t="str">
        <f t="shared" si="15"/>
        <v>2Q21</v>
      </c>
      <c r="BL68" s="933">
        <f t="shared" si="16"/>
        <v>31.8505822336231</v>
      </c>
      <c r="BM68" s="810">
        <v>23.6974210277568</v>
      </c>
      <c r="BN68" s="810">
        <v>23.5895257824892</v>
      </c>
      <c r="BO68" s="810">
        <v>25.7915588945533</v>
      </c>
      <c r="BP68" s="810">
        <v>17.3070234376427</v>
      </c>
      <c r="BQ68" s="934">
        <v>17.53752845101</v>
      </c>
      <c r="BR68" s="933">
        <f t="shared" si="17"/>
        <v>27.5428474417576</v>
      </c>
      <c r="BS68" s="810">
        <v>29.6168582375479</v>
      </c>
      <c r="BT68" s="810">
        <v>22.7455077308817</v>
      </c>
      <c r="BU68" s="810">
        <v>17.6495944054221</v>
      </c>
      <c r="BV68" s="810">
        <v>16.9873599113953</v>
      </c>
      <c r="BW68" s="934">
        <v>17.1286826438712</v>
      </c>
      <c r="BX68" s="933">
        <f t="shared" si="18"/>
        <v>14.2728669935573</v>
      </c>
      <c r="BY68" s="810">
        <v>13.8194579192422</v>
      </c>
      <c r="BZ68" s="810">
        <v>7.99421889014724</v>
      </c>
      <c r="CA68" s="810">
        <v>22.0261974275927</v>
      </c>
      <c r="CB68" s="810">
        <v>13.3849672643896</v>
      </c>
      <c r="CC68" s="934">
        <v>10.5374575768322</v>
      </c>
      <c r="CD68" s="933">
        <f t="shared" si="21"/>
        <v>13.1055816921064</v>
      </c>
      <c r="CE68" s="810">
        <v>10.8109945315616</v>
      </c>
      <c r="CF68" s="810">
        <v>11.5073082924952</v>
      </c>
      <c r="CG68" s="810">
        <v>16.0718960793361</v>
      </c>
      <c r="CH68" s="810">
        <v>11.6798602720559</v>
      </c>
      <c r="CI68" s="934">
        <v>10.218256912726</v>
      </c>
    </row>
    <row r="69" ht="14.25" customHeight="1" spans="1:87" x14ac:dyDescent="0.25">
      <c r="A69" s="8"/>
      <c r="B69" s="8"/>
      <c r="C69" s="8" t="s">
        <v>1129</v>
      </c>
      <c r="D69" s="8"/>
      <c r="E69" s="753">
        <f>AVERAGE(AM48:AQ63)</f>
        <v>17.08643071906176</v>
      </c>
      <c r="F69" s="753">
        <f>AVERAGE(AS48:AW63)</f>
        <v>13.060402390627019</v>
      </c>
      <c r="G69" s="753">
        <f>AVERAGE(AY48:BC63)</f>
        <v>8.389008918524613</v>
      </c>
      <c r="H69" s="753">
        <f>AVERAGE(BE48:BI63)</f>
        <v>7.678384205247906</v>
      </c>
      <c r="I69" s="75">
        <v>2</v>
      </c>
      <c r="J69" s="7">
        <v>2021</v>
      </c>
      <c r="K69" s="340" t="s">
        <v>1130</v>
      </c>
      <c r="L69" s="933">
        <v>31.7235930681597</v>
      </c>
      <c r="M69" s="810">
        <v>32.7716917179072</v>
      </c>
      <c r="N69" s="810">
        <v>50.2239798864786</v>
      </c>
      <c r="O69" s="810"/>
      <c r="P69" s="810">
        <v>85.0408126470493</v>
      </c>
      <c r="Q69" s="810">
        <v>35.048471290082</v>
      </c>
      <c r="R69" s="810">
        <v>27.6012168698982</v>
      </c>
      <c r="S69" s="810">
        <v>27.389025391597</v>
      </c>
      <c r="T69" s="810">
        <v>35.9452982663578</v>
      </c>
      <c r="U69" s="810">
        <v>310.455475946776</v>
      </c>
      <c r="V69" s="810">
        <v>80.3111255338506</v>
      </c>
      <c r="W69" s="810">
        <v>32.2309636333425</v>
      </c>
      <c r="X69" s="810">
        <v>14.7044598027187</v>
      </c>
      <c r="Y69" s="810">
        <v>15.978415245164</v>
      </c>
      <c r="Z69" s="810">
        <v>20.7845106767202</v>
      </c>
      <c r="AA69" s="810">
        <v>18.083833311885</v>
      </c>
      <c r="AB69" s="810">
        <v>23.1379766197595</v>
      </c>
      <c r="AC69" s="810">
        <v>10.6427416935523</v>
      </c>
      <c r="AD69" s="810">
        <v>13.4737571845732</v>
      </c>
      <c r="AE69" s="810">
        <v>14.2085455038513</v>
      </c>
      <c r="AF69" s="810">
        <v>18.2121911807918</v>
      </c>
      <c r="AG69" s="810">
        <v>14.4040011430548</v>
      </c>
      <c r="AH69" s="810">
        <v>20.013541193652</v>
      </c>
      <c r="AI69" s="810">
        <v>9.9031598791773</v>
      </c>
      <c r="AJ69" s="8"/>
      <c r="AK69" s="340" t="str">
        <f t="shared" si="11"/>
        <v>3Q21</v>
      </c>
      <c r="AL69" s="933">
        <f t="shared" si="12"/>
        <v>31.7235930681597</v>
      </c>
      <c r="AM69" s="810">
        <v>21.7844169029372</v>
      </c>
      <c r="AN69" s="810">
        <v>17.2500685406486</v>
      </c>
      <c r="AO69" s="810">
        <v>22.1205479452055</v>
      </c>
      <c r="AP69" s="810">
        <v>21.5795206971678</v>
      </c>
      <c r="AQ69" s="934">
        <v>18.7367829520415</v>
      </c>
      <c r="AR69" s="933">
        <f t="shared" si="13"/>
        <v>27.6012168698982</v>
      </c>
      <c r="AS69" s="810">
        <v>22.1397240609299</v>
      </c>
      <c r="AT69" s="810">
        <v>20.8148868888348</v>
      </c>
      <c r="AU69" s="810">
        <v>21.5594125500668</v>
      </c>
      <c r="AV69" s="810">
        <v>20.2039775624681</v>
      </c>
      <c r="AW69" s="934">
        <v>14.4305239179954</v>
      </c>
      <c r="AX69" s="933">
        <f t="shared" si="14"/>
        <v>14.7044598027187</v>
      </c>
      <c r="AY69" s="810">
        <v>12.0202300603609</v>
      </c>
      <c r="AZ69" s="810">
        <v>12.6144758164482</v>
      </c>
      <c r="BA69" s="810">
        <v>11.7393095004713</v>
      </c>
      <c r="BB69" s="810">
        <v>14.2659952164131</v>
      </c>
      <c r="BC69" s="934">
        <v>10.3526050422766</v>
      </c>
      <c r="BD69" s="933">
        <f t="shared" si="20"/>
        <v>13.4737571845732</v>
      </c>
      <c r="BE69" s="810">
        <v>13.3289772635557</v>
      </c>
      <c r="BF69" s="810">
        <v>13.1897408687117</v>
      </c>
      <c r="BG69" s="810">
        <v>12.8497335792121</v>
      </c>
      <c r="BH69" s="810">
        <v>13.133248032386</v>
      </c>
      <c r="BI69" s="934">
        <v>9.40870102313227</v>
      </c>
      <c r="BJ69" s="8"/>
      <c r="BK69" s="340" t="str">
        <f t="shared" si="15"/>
        <v>3Q21</v>
      </c>
      <c r="BL69" s="933">
        <f t="shared" si="16"/>
        <v>31.7235930681597</v>
      </c>
      <c r="BM69" s="810">
        <v>24.742040170703</v>
      </c>
      <c r="BN69" s="810">
        <v>24.0214920341708</v>
      </c>
      <c r="BO69" s="810">
        <v>23.4933771233793</v>
      </c>
      <c r="BP69" s="810">
        <v>18.0285981640464</v>
      </c>
      <c r="BQ69" s="934">
        <v>18.3791047444912</v>
      </c>
      <c r="BR69" s="933">
        <f t="shared" si="17"/>
        <v>27.6012168698982</v>
      </c>
      <c r="BS69" s="810">
        <v>25.9627929451558</v>
      </c>
      <c r="BT69" s="810">
        <v>19.6392817416177</v>
      </c>
      <c r="BU69" s="810">
        <v>15.870049091687</v>
      </c>
      <c r="BV69" s="810">
        <v>18.0227065984269</v>
      </c>
      <c r="BW69" s="934">
        <v>18.5239684466019</v>
      </c>
      <c r="BX69" s="933">
        <f t="shared" si="18"/>
        <v>14.7044598027187</v>
      </c>
      <c r="BY69" s="810">
        <v>14.3264244041204</v>
      </c>
      <c r="BZ69" s="810">
        <v>7.1606597322999</v>
      </c>
      <c r="CA69" s="810">
        <v>25.6475468440842</v>
      </c>
      <c r="CB69" s="810">
        <v>14.752252083434</v>
      </c>
      <c r="CC69" s="934">
        <v>11.3109397504525</v>
      </c>
      <c r="CD69" s="933">
        <f t="shared" si="21"/>
        <v>13.4737571845732</v>
      </c>
      <c r="CE69" s="810">
        <v>11.112001785687</v>
      </c>
      <c r="CF69" s="810">
        <v>11.7841043437958</v>
      </c>
      <c r="CG69" s="810">
        <v>15.9469374086928</v>
      </c>
      <c r="CH69" s="810">
        <v>12.6190343687216</v>
      </c>
      <c r="CI69" s="934">
        <v>10.944111913627</v>
      </c>
    </row>
    <row r="70" ht="14.25" customHeight="1" spans="1:87" x14ac:dyDescent="0.25">
      <c r="A70" s="8"/>
      <c r="B70" s="8"/>
      <c r="C70" s="8" t="s">
        <v>1131</v>
      </c>
      <c r="D70" s="8"/>
      <c r="E70" s="753">
        <f>AVERAGE(AM60:AQ75)</f>
        <v>19.52672033202134</v>
      </c>
      <c r="F70" s="753">
        <f>AVERAGE(AS60:AW75)</f>
        <v>17.86302006598296</v>
      </c>
      <c r="G70" s="753">
        <f>AVERAGE(AY60:BC75)</f>
        <v>11.701290624943695</v>
      </c>
      <c r="H70" s="753">
        <f>AVERAGE(BE60:BI75)</f>
        <v>11.295095761117661</v>
      </c>
      <c r="I70" s="75">
        <v>3</v>
      </c>
      <c r="J70" s="7">
        <v>2021</v>
      </c>
      <c r="K70" s="340" t="s">
        <v>1132</v>
      </c>
      <c r="L70" s="933">
        <v>34.1393099281373</v>
      </c>
      <c r="M70" s="810">
        <v>35.3452076853908</v>
      </c>
      <c r="N70" s="810">
        <v>50.8188559697332</v>
      </c>
      <c r="O70" s="810"/>
      <c r="P70" s="810">
        <v>98.7416279999908</v>
      </c>
      <c r="Q70" s="810">
        <v>29.5198213602551</v>
      </c>
      <c r="R70" s="810">
        <v>30.1513513513513</v>
      </c>
      <c r="S70" s="810">
        <v>30.2001064395955</v>
      </c>
      <c r="T70" s="810">
        <v>37.1188912033328</v>
      </c>
      <c r="U70" s="810">
        <v>92.4657293497364</v>
      </c>
      <c r="V70" s="810">
        <v>78.9881109643329</v>
      </c>
      <c r="W70" s="810">
        <v>26.3941798941799</v>
      </c>
      <c r="X70" s="810">
        <v>16.1103683765108</v>
      </c>
      <c r="Y70" s="810">
        <v>16.8020304534619</v>
      </c>
      <c r="Z70" s="810">
        <v>21.6858904034847</v>
      </c>
      <c r="AA70" s="810">
        <v>17.3758555744916</v>
      </c>
      <c r="AB70" s="810">
        <v>25.1309663581061</v>
      </c>
      <c r="AC70" s="810">
        <v>9.82351658735492</v>
      </c>
      <c r="AD70" s="810">
        <v>14.6132352260362</v>
      </c>
      <c r="AE70" s="810">
        <v>15.2522261998779</v>
      </c>
      <c r="AF70" s="810">
        <v>18.845212543118</v>
      </c>
      <c r="AG70" s="810">
        <v>14.1801484609679</v>
      </c>
      <c r="AH70" s="810">
        <v>21.4712142704386</v>
      </c>
      <c r="AI70" s="810">
        <v>8.35526852549903</v>
      </c>
      <c r="AJ70" s="8"/>
      <c r="AK70" s="340" t="str">
        <f t="shared" si="11"/>
        <v>4Q21</v>
      </c>
      <c r="AL70" s="933">
        <f t="shared" si="12"/>
        <v>34.1393099281373</v>
      </c>
      <c r="AM70" s="810">
        <v>24.2456302934027</v>
      </c>
      <c r="AN70" s="810">
        <v>18.9268554528184</v>
      </c>
      <c r="AO70" s="810">
        <v>25.1117092866756</v>
      </c>
      <c r="AP70" s="810">
        <v>22.0107066381156</v>
      </c>
      <c r="AQ70" s="934">
        <v>18.6776297304092</v>
      </c>
      <c r="AR70" s="933">
        <f t="shared" si="13"/>
        <v>30.1513513513513</v>
      </c>
      <c r="AS70" s="810">
        <v>24.5599176824442</v>
      </c>
      <c r="AT70" s="810">
        <v>22.8985276561878</v>
      </c>
      <c r="AU70" s="810">
        <v>24.5758693361433</v>
      </c>
      <c r="AV70" s="810">
        <v>20.9839746861284</v>
      </c>
      <c r="AW70" s="934">
        <v>14.7202797202797</v>
      </c>
      <c r="AX70" s="933">
        <f t="shared" si="14"/>
        <v>16.1103683765108</v>
      </c>
      <c r="AY70" s="810">
        <v>12.9700972455721</v>
      </c>
      <c r="AZ70" s="810">
        <v>13.7961004266903</v>
      </c>
      <c r="BA70" s="810">
        <v>12.5893754769231</v>
      </c>
      <c r="BB70" s="810">
        <v>14.538753651645</v>
      </c>
      <c r="BC70" s="934">
        <v>10.3251758897163</v>
      </c>
      <c r="BD70" s="933">
        <f t="shared" si="20"/>
        <v>14.6132352260362</v>
      </c>
      <c r="BE70" s="810">
        <v>14.4037001752278</v>
      </c>
      <c r="BF70" s="810">
        <v>14.5728760844369</v>
      </c>
      <c r="BG70" s="810">
        <v>14.6792074636279</v>
      </c>
      <c r="BH70" s="810">
        <v>13.6358243911247</v>
      </c>
      <c r="BI70" s="934">
        <v>9.46012259866141</v>
      </c>
      <c r="BJ70" s="8"/>
      <c r="BK70" s="340" t="str">
        <f t="shared" si="15"/>
        <v>4Q21</v>
      </c>
      <c r="BL70" s="933">
        <f t="shared" si="16"/>
        <v>34.1393099281373</v>
      </c>
      <c r="BM70" s="810">
        <v>22.9110920659941</v>
      </c>
      <c r="BN70" s="810">
        <v>22.684546980981</v>
      </c>
      <c r="BO70" s="810">
        <v>23.0472722740321</v>
      </c>
      <c r="BP70" s="810">
        <v>18.5624804884841</v>
      </c>
      <c r="BQ70" s="934">
        <v>17.196000181915</v>
      </c>
      <c r="BR70" s="933">
        <f t="shared" si="17"/>
        <v>30.1513513513513</v>
      </c>
      <c r="BS70" s="810">
        <v>24.1967403958091</v>
      </c>
      <c r="BT70" s="810">
        <v>19.2504598405886</v>
      </c>
      <c r="BU70" s="810">
        <v>14.9761977139175</v>
      </c>
      <c r="BV70" s="810">
        <v>19.154446768158</v>
      </c>
      <c r="BW70" s="934">
        <v>17.6816450875857</v>
      </c>
      <c r="BX70" s="933">
        <f t="shared" si="18"/>
        <v>16.1103683765108</v>
      </c>
      <c r="BY70" s="810">
        <v>13.6676931552284</v>
      </c>
      <c r="BZ70" s="810">
        <v>7.45034129457223</v>
      </c>
      <c r="CA70" s="810">
        <v>30.1140879312756</v>
      </c>
      <c r="CB70" s="810">
        <v>15.5163968058044</v>
      </c>
      <c r="CC70" s="934">
        <v>11.1544756048268</v>
      </c>
      <c r="CD70" s="933">
        <f t="shared" si="21"/>
        <v>14.6132352260362</v>
      </c>
      <c r="CE70" s="810">
        <v>11.2664306736894</v>
      </c>
      <c r="CF70" s="810">
        <v>12.2155263486962</v>
      </c>
      <c r="CG70" s="810">
        <v>15.5063637404971</v>
      </c>
      <c r="CH70" s="810">
        <v>13.3370545414741</v>
      </c>
      <c r="CI70" s="934">
        <v>10.5691443030444</v>
      </c>
    </row>
    <row r="71" ht="14.25" customHeight="1" spans="1:87" x14ac:dyDescent="0.25">
      <c r="A71" s="8"/>
      <c r="B71" s="8"/>
      <c r="C71" s="8"/>
      <c r="D71" s="8"/>
      <c r="E71" s="8"/>
      <c r="F71" s="8"/>
      <c r="G71" s="8"/>
      <c r="H71" s="8"/>
      <c r="I71" s="75">
        <v>4</v>
      </c>
      <c r="J71" s="7">
        <v>2021</v>
      </c>
      <c r="K71" s="340" t="s">
        <v>1133</v>
      </c>
      <c r="L71" s="933">
        <v>31.9363375022506</v>
      </c>
      <c r="M71" s="810">
        <v>32.7895033869385</v>
      </c>
      <c r="N71" s="810">
        <v>49.6685680804254</v>
      </c>
      <c r="O71" s="810"/>
      <c r="P71" s="810">
        <v>97.1011458267556</v>
      </c>
      <c r="Q71" s="810">
        <v>29.2803035667732</v>
      </c>
      <c r="R71" s="810">
        <v>27.8879715341119</v>
      </c>
      <c r="S71" s="810">
        <v>28.6104689612105</v>
      </c>
      <c r="T71" s="810">
        <v>36.1790969400638</v>
      </c>
      <c r="U71" s="810">
        <v>94.8962268675167</v>
      </c>
      <c r="V71" s="810">
        <v>83.9498802768393</v>
      </c>
      <c r="W71" s="810">
        <v>26.1037459361637</v>
      </c>
      <c r="X71" s="810">
        <v>15.1818720104921</v>
      </c>
      <c r="Y71" s="810">
        <v>15.7177724236884</v>
      </c>
      <c r="Z71" s="810">
        <v>21.4572430022437</v>
      </c>
      <c r="AA71" s="810">
        <v>15.5440937386213</v>
      </c>
      <c r="AB71" s="810">
        <v>24.6842845448338</v>
      </c>
      <c r="AC71" s="810">
        <v>11.9492430519978</v>
      </c>
      <c r="AD71" s="810">
        <v>13.7098839440253</v>
      </c>
      <c r="AE71" s="810">
        <v>14.4550869415358</v>
      </c>
      <c r="AF71" s="810">
        <v>18.6504953638841</v>
      </c>
      <c r="AG71" s="810">
        <v>13.4105343209384</v>
      </c>
      <c r="AH71" s="810">
        <v>21.532960858096</v>
      </c>
      <c r="AI71" s="810">
        <v>10.3161134677183</v>
      </c>
      <c r="AJ71" s="8"/>
      <c r="AK71" s="340" t="str">
        <f t="shared" si="11"/>
        <v>1Q22</v>
      </c>
      <c r="AL71" s="933">
        <f t="shared" si="12"/>
        <v>31.9363375022506</v>
      </c>
      <c r="AM71" s="810">
        <v>24.5982132219553</v>
      </c>
      <c r="AN71" s="810">
        <v>21.8626218691042</v>
      </c>
      <c r="AO71" s="810">
        <v>24.9480221869395</v>
      </c>
      <c r="AP71" s="810">
        <v>21.303664921466</v>
      </c>
      <c r="AQ71" s="934">
        <v>22.0380377300437</v>
      </c>
      <c r="AR71" s="933">
        <f t="shared" si="13"/>
        <v>27.8879715341119</v>
      </c>
      <c r="AS71" s="810">
        <v>24.5001526251526</v>
      </c>
      <c r="AT71" s="810">
        <v>23.2895735316436</v>
      </c>
      <c r="AU71" s="810">
        <v>24.6166950596252</v>
      </c>
      <c r="AV71" s="810">
        <v>20.70737913486</v>
      </c>
      <c r="AW71" s="934">
        <v>13.4192037470726</v>
      </c>
      <c r="AX71" s="933">
        <f t="shared" si="14"/>
        <v>15.1818720104921</v>
      </c>
      <c r="AY71" s="810">
        <v>13.0409382554541</v>
      </c>
      <c r="AZ71" s="810">
        <v>15.5527575607632</v>
      </c>
      <c r="BA71" s="810">
        <v>11.8107075820958</v>
      </c>
      <c r="BB71" s="810">
        <v>13.2019857913941</v>
      </c>
      <c r="BC71" s="934">
        <v>9.3627293419853</v>
      </c>
      <c r="BD71" s="933">
        <f t="shared" si="20"/>
        <v>13.7098839440253</v>
      </c>
      <c r="BE71" s="810">
        <v>14.3633208455077</v>
      </c>
      <c r="BF71" s="810">
        <v>13.5977377549885</v>
      </c>
      <c r="BG71" s="810">
        <v>13.6092786505394</v>
      </c>
      <c r="BH71" s="810">
        <v>12.6617017462373</v>
      </c>
      <c r="BI71" s="934">
        <v>8.08378705222728</v>
      </c>
      <c r="BJ71" s="8"/>
      <c r="BK71" s="340" t="str">
        <f t="shared" si="15"/>
        <v>1Q22</v>
      </c>
      <c r="BL71" s="933">
        <f t="shared" si="16"/>
        <v>31.9363375022506</v>
      </c>
      <c r="BM71" s="810">
        <v>22.9411991646364</v>
      </c>
      <c r="BN71" s="810">
        <v>25.1826307908707</v>
      </c>
      <c r="BO71" s="810">
        <v>742.467994422803</v>
      </c>
      <c r="BP71" s="810">
        <v>51.5397345560592</v>
      </c>
      <c r="BQ71" s="934">
        <v>18.7735294559135</v>
      </c>
      <c r="BR71" s="933">
        <f t="shared" si="17"/>
        <v>27.8879715341119</v>
      </c>
      <c r="BS71" s="810">
        <v>24.4120836560806</v>
      </c>
      <c r="BT71" s="810">
        <v>19.3150684931507</v>
      </c>
      <c r="BU71" s="810">
        <v>15.7500816244131</v>
      </c>
      <c r="BV71" s="810">
        <v>20.6897066816639</v>
      </c>
      <c r="BW71" s="934">
        <v>19.2529429520072</v>
      </c>
      <c r="BX71" s="933">
        <f t="shared" si="18"/>
        <v>15.1818720104921</v>
      </c>
      <c r="BY71" s="810">
        <v>12.8627005385798</v>
      </c>
      <c r="BZ71" s="810">
        <v>8.35257679501803</v>
      </c>
      <c r="CA71" s="810">
        <v>24.2403751473379</v>
      </c>
      <c r="CB71" s="810">
        <v>16.7295227167314</v>
      </c>
      <c r="CC71" s="934">
        <v>11.7565902366369</v>
      </c>
      <c r="CD71" s="933">
        <f t="shared" si="21"/>
        <v>13.7098839440253</v>
      </c>
      <c r="CE71" s="810">
        <v>10.5916795781224</v>
      </c>
      <c r="CF71" s="810">
        <v>10.7911630214727</v>
      </c>
      <c r="CG71" s="810">
        <v>13.760511897776</v>
      </c>
      <c r="CH71" s="810">
        <v>13.3151035628192</v>
      </c>
      <c r="CI71" s="934">
        <v>11.1186982090238</v>
      </c>
    </row>
    <row r="72" ht="14.25" customHeight="1" spans="1:87" x14ac:dyDescent="0.25">
      <c r="A72" s="257" t="s">
        <v>3</v>
      </c>
      <c r="B72" s="8"/>
      <c r="C72" s="893" t="str">
        <f>Comparables!S90</f>
        <v>N/A</v>
      </c>
      <c r="D72" s="101"/>
      <c r="E72" s="101"/>
      <c r="F72" s="101"/>
      <c r="G72" s="101"/>
      <c r="H72" s="102"/>
      <c r="I72" s="75">
        <v>1</v>
      </c>
      <c r="J72" s="7">
        <v>2022</v>
      </c>
      <c r="K72" s="340" t="s">
        <v>1134</v>
      </c>
      <c r="L72" s="933">
        <v>30.2867953784114</v>
      </c>
      <c r="M72" s="810">
        <v>30.117570347994</v>
      </c>
      <c r="N72" s="810">
        <v>42.5330715561628</v>
      </c>
      <c r="O72" s="810"/>
      <c r="P72" s="810">
        <v>80.1979127356669</v>
      </c>
      <c r="Q72" s="810">
        <v>21.194446170289</v>
      </c>
      <c r="R72" s="810">
        <v>26.4766487905587</v>
      </c>
      <c r="S72" s="810">
        <v>25.8833056418012</v>
      </c>
      <c r="T72" s="810">
        <v>30.9975183344228</v>
      </c>
      <c r="U72" s="810">
        <v>48.8782694145679</v>
      </c>
      <c r="V72" s="810">
        <v>64.4125466899222</v>
      </c>
      <c r="W72" s="810">
        <v>18.438045136393</v>
      </c>
      <c r="X72" s="810">
        <v>14.6061733952126</v>
      </c>
      <c r="Y72" s="810">
        <v>14.9040241760434</v>
      </c>
      <c r="Z72" s="810">
        <v>18.8370242043273</v>
      </c>
      <c r="AA72" s="810">
        <v>13.5161598411379</v>
      </c>
      <c r="AB72" s="810">
        <v>20.4994604023833</v>
      </c>
      <c r="AC72" s="810">
        <v>9.46967649698796</v>
      </c>
      <c r="AD72" s="810">
        <v>12.7221382791772</v>
      </c>
      <c r="AE72" s="810">
        <v>13.6098085496516</v>
      </c>
      <c r="AF72" s="810">
        <v>16.4131451258615</v>
      </c>
      <c r="AG72" s="810">
        <v>11.541106389958</v>
      </c>
      <c r="AH72" s="810">
        <v>17.5714792354903</v>
      </c>
      <c r="AI72" s="810">
        <v>8.29163853494301</v>
      </c>
      <c r="AJ72" s="8"/>
      <c r="AK72" s="340" t="str">
        <f t="shared" si="11"/>
        <v>2Q22</v>
      </c>
      <c r="AL72" s="933">
        <f t="shared" si="12"/>
        <v>30.2867953784114</v>
      </c>
      <c r="AM72" s="810">
        <v>24.1509383260948</v>
      </c>
      <c r="AN72" s="810">
        <v>22.0227858117546</v>
      </c>
      <c r="AO72" s="810">
        <v>26.9786634548615</v>
      </c>
      <c r="AP72" s="810">
        <v>22.7263374485597</v>
      </c>
      <c r="AQ72" s="934">
        <v>22.3611084402223</v>
      </c>
      <c r="AR72" s="933">
        <f t="shared" si="13"/>
        <v>26.4766487905587</v>
      </c>
      <c r="AS72" s="810">
        <v>21.6760744066709</v>
      </c>
      <c r="AT72" s="810">
        <v>22.4139702105804</v>
      </c>
      <c r="AU72" s="810">
        <v>22.2540730047432</v>
      </c>
      <c r="AV72" s="810">
        <v>19.7144132083891</v>
      </c>
      <c r="AW72" s="934">
        <v>13.3655172413793</v>
      </c>
      <c r="AX72" s="933">
        <f t="shared" si="14"/>
        <v>14.6061733952126</v>
      </c>
      <c r="AY72" s="810">
        <v>13.1406935347941</v>
      </c>
      <c r="AZ72" s="810">
        <v>17.7530299203028</v>
      </c>
      <c r="BA72" s="810">
        <v>13.3347745275671</v>
      </c>
      <c r="BB72" s="810">
        <v>14.6630133422256</v>
      </c>
      <c r="BC72" s="934">
        <v>9.50060170826765</v>
      </c>
      <c r="BD72" s="933">
        <f t="shared" si="20"/>
        <v>12.7221382791772</v>
      </c>
      <c r="BE72" s="810">
        <v>13.4225475232659</v>
      </c>
      <c r="BF72" s="810">
        <v>15.691728942063</v>
      </c>
      <c r="BG72" s="810">
        <v>13.1858626537768</v>
      </c>
      <c r="BH72" s="810">
        <v>14.2275973172747</v>
      </c>
      <c r="BI72" s="934">
        <v>8.7443957905331</v>
      </c>
      <c r="BJ72" s="8"/>
      <c r="BK72" s="340" t="str">
        <f t="shared" si="15"/>
        <v>2Q22</v>
      </c>
      <c r="BL72" s="933">
        <f t="shared" si="16"/>
        <v>30.2867953784114</v>
      </c>
      <c r="BM72" s="810">
        <v>17.5267411238021</v>
      </c>
      <c r="BN72" s="810">
        <v>22.2618223649331</v>
      </c>
      <c r="BO72" s="810">
        <v>649.507211629073</v>
      </c>
      <c r="BP72" s="810">
        <v>42.8914940993145</v>
      </c>
      <c r="BQ72" s="934">
        <v>17.7342126112493</v>
      </c>
      <c r="BR72" s="933">
        <f t="shared" si="17"/>
        <v>26.4766487905587</v>
      </c>
      <c r="BS72" s="810">
        <v>16.1123865748333</v>
      </c>
      <c r="BT72" s="810">
        <v>16.481324278438</v>
      </c>
      <c r="BU72" s="810">
        <v>13.6540241011591</v>
      </c>
      <c r="BV72" s="810">
        <v>17.3537435803074</v>
      </c>
      <c r="BW72" s="934">
        <v>17.7736968498375</v>
      </c>
      <c r="BX72" s="933">
        <f t="shared" si="18"/>
        <v>14.6061733952126</v>
      </c>
      <c r="BY72" s="810">
        <v>9.86145266460381</v>
      </c>
      <c r="BZ72" s="810">
        <v>8.91440884436263</v>
      </c>
      <c r="CA72" s="810"/>
      <c r="CB72" s="810">
        <v>15.2716598940273</v>
      </c>
      <c r="CC72" s="934">
        <v>11.9371984794053</v>
      </c>
      <c r="CD72" s="933">
        <f t="shared" si="21"/>
        <v>12.7221382791772</v>
      </c>
      <c r="CE72" s="810">
        <v>9.01207187211989</v>
      </c>
      <c r="CF72" s="810">
        <v>10.9906442092482</v>
      </c>
      <c r="CG72" s="810">
        <v>11.7410015531219</v>
      </c>
      <c r="CH72" s="810">
        <v>12.4278117827672</v>
      </c>
      <c r="CI72" s="934">
        <v>11.2409200860146</v>
      </c>
    </row>
    <row r="73" ht="14.25" customHeight="1" spans="1:87" x14ac:dyDescent="0.25">
      <c r="A73" s="8"/>
      <c r="B73" s="8"/>
      <c r="C73" s="932" t="s">
        <v>1044</v>
      </c>
      <c r="D73" s="932"/>
      <c r="E73" s="932"/>
      <c r="F73" s="932"/>
      <c r="G73" s="932"/>
      <c r="H73" s="932"/>
      <c r="I73" s="75">
        <v>2</v>
      </c>
      <c r="J73" s="7">
        <v>2022</v>
      </c>
      <c r="K73" s="340" t="s">
        <v>1135</v>
      </c>
      <c r="L73" s="933">
        <v>29.6149812968897</v>
      </c>
      <c r="M73" s="810">
        <v>30.5348545425194</v>
      </c>
      <c r="N73" s="810">
        <v>43.2647622231038</v>
      </c>
      <c r="O73" s="810"/>
      <c r="P73" s="810">
        <v>75.8962946036036</v>
      </c>
      <c r="Q73" s="810">
        <v>20.0178591775095</v>
      </c>
      <c r="R73" s="810">
        <v>26.2029795464655</v>
      </c>
      <c r="S73" s="810">
        <v>25.6935437806804</v>
      </c>
      <c r="T73" s="810">
        <v>32.2459697264117</v>
      </c>
      <c r="U73" s="810">
        <v>40.8030910098327</v>
      </c>
      <c r="V73" s="810">
        <v>62.2753837907056</v>
      </c>
      <c r="W73" s="810">
        <v>16.1140369680498</v>
      </c>
      <c r="X73" s="810">
        <v>15.0694992863047</v>
      </c>
      <c r="Y73" s="810">
        <v>15.1398849182484</v>
      </c>
      <c r="Z73" s="810">
        <v>19.4622244316243</v>
      </c>
      <c r="AA73" s="810">
        <v>13.5102595271746</v>
      </c>
      <c r="AB73" s="810">
        <v>19.8167635921996</v>
      </c>
      <c r="AC73" s="810">
        <v>9.50067077502053</v>
      </c>
      <c r="AD73" s="810">
        <v>13.125111425456</v>
      </c>
      <c r="AE73" s="810">
        <v>13.6193078250666</v>
      </c>
      <c r="AF73" s="810">
        <v>16.905739934946</v>
      </c>
      <c r="AG73" s="810">
        <v>11.5593190302659</v>
      </c>
      <c r="AH73" s="810">
        <v>17.4054046291243</v>
      </c>
      <c r="AI73" s="810">
        <v>8.10124208066083</v>
      </c>
      <c r="AJ73" s="8"/>
      <c r="AK73" s="340" t="str">
        <f t="shared" si="11"/>
        <v>3Q22</v>
      </c>
      <c r="AL73" s="933">
        <f t="shared" si="12"/>
        <v>29.6149812968897</v>
      </c>
      <c r="AM73" s="810">
        <v>19.6597714281227</v>
      </c>
      <c r="AN73" s="810">
        <v>17.897159906267</v>
      </c>
      <c r="AO73" s="810">
        <v>22.5695103649992</v>
      </c>
      <c r="AP73" s="810">
        <v>18.5036143640697</v>
      </c>
      <c r="AQ73" s="934">
        <v>28.2439248051353</v>
      </c>
      <c r="AR73" s="933">
        <f t="shared" si="13"/>
        <v>26.2029795464655</v>
      </c>
      <c r="AS73" s="810">
        <v>18.4068535825545</v>
      </c>
      <c r="AT73" s="810">
        <v>18.7006199100523</v>
      </c>
      <c r="AU73" s="810">
        <v>19.4875416120246</v>
      </c>
      <c r="AV73" s="810">
        <v>16.7891560839413</v>
      </c>
      <c r="AW73" s="934">
        <v>14.9032258064516</v>
      </c>
      <c r="AX73" s="933">
        <f t="shared" si="14"/>
        <v>15.0694992863047</v>
      </c>
      <c r="AY73" s="810">
        <v>11.7060983861026</v>
      </c>
      <c r="AZ73" s="810">
        <v>18.2101294010831</v>
      </c>
      <c r="BA73" s="810">
        <v>11.7567860040568</v>
      </c>
      <c r="BB73" s="810">
        <v>14.219845002532</v>
      </c>
      <c r="BC73" s="934">
        <v>11.6540606664239</v>
      </c>
      <c r="BD73" s="933">
        <f t="shared" si="20"/>
        <v>13.125111425456</v>
      </c>
      <c r="BE73" s="810">
        <v>11.8571842051646</v>
      </c>
      <c r="BF73" s="810">
        <v>15.8835936734414</v>
      </c>
      <c r="BG73" s="810">
        <v>11.2725510514067</v>
      </c>
      <c r="BH73" s="810">
        <v>13.1408227441087</v>
      </c>
      <c r="BI73" s="934">
        <v>10.252465604512</v>
      </c>
      <c r="BJ73" s="8"/>
      <c r="BK73" s="340" t="str">
        <f t="shared" si="15"/>
        <v>3Q22</v>
      </c>
      <c r="BL73" s="933">
        <f t="shared" si="16"/>
        <v>29.6149812968897</v>
      </c>
      <c r="BM73" s="810">
        <v>13.7596348884381</v>
      </c>
      <c r="BN73" s="810">
        <v>17.5804740540875</v>
      </c>
      <c r="BO73" s="810">
        <v>666.371271278196</v>
      </c>
      <c r="BP73" s="810">
        <v>37.9065386167391</v>
      </c>
      <c r="BQ73" s="934">
        <v>17.3187216863556</v>
      </c>
      <c r="BR73" s="933">
        <f t="shared" si="17"/>
        <v>26.2029795464655</v>
      </c>
      <c r="BS73" s="810">
        <v>12.5249261447563</v>
      </c>
      <c r="BT73" s="810">
        <v>14.5337353155214</v>
      </c>
      <c r="BU73" s="810">
        <v>13.9771704636752</v>
      </c>
      <c r="BV73" s="810">
        <v>17.160752720791</v>
      </c>
      <c r="BW73" s="934">
        <v>17.5161109554497</v>
      </c>
      <c r="BX73" s="933">
        <f t="shared" si="18"/>
        <v>15.0694992863047</v>
      </c>
      <c r="BY73" s="810">
        <v>8.15101099180971</v>
      </c>
      <c r="BZ73" s="810">
        <v>7.56118596743218</v>
      </c>
      <c r="CA73" s="810"/>
      <c r="CB73" s="810">
        <v>14.7275249455244</v>
      </c>
      <c r="CC73" s="934">
        <v>10.9446678157627</v>
      </c>
      <c r="CD73" s="933">
        <f t="shared" si="21"/>
        <v>13.125111425456</v>
      </c>
      <c r="CE73" s="810">
        <v>7.51579358116501</v>
      </c>
      <c r="CF73" s="810">
        <v>10.0753547067155</v>
      </c>
      <c r="CG73" s="810">
        <v>11.6934775650165</v>
      </c>
      <c r="CH73" s="810">
        <v>12.3198580391385</v>
      </c>
      <c r="CI73" s="934">
        <v>10.8240208659149</v>
      </c>
    </row>
    <row r="74" ht="14.25" customHeight="1" spans="1:87" x14ac:dyDescent="0.25">
      <c r="A74" s="8"/>
      <c r="B74" s="8"/>
      <c r="C74" s="75"/>
      <c r="D74" s="8"/>
      <c r="E74" s="75" t="s">
        <v>1039</v>
      </c>
      <c r="F74" s="75" t="s">
        <v>1040</v>
      </c>
      <c r="G74" s="75" t="s">
        <v>1041</v>
      </c>
      <c r="H74" s="75" t="s">
        <v>1042</v>
      </c>
      <c r="I74" s="75">
        <v>3</v>
      </c>
      <c r="J74" s="7">
        <v>2022</v>
      </c>
      <c r="K74" s="340" t="s">
        <v>1136</v>
      </c>
      <c r="L74" s="933">
        <v>26.7196793058476</v>
      </c>
      <c r="M74" s="810">
        <v>28.316513935342</v>
      </c>
      <c r="N74" s="810">
        <v>39.7641389021126</v>
      </c>
      <c r="O74" s="810"/>
      <c r="P74" s="810">
        <v>70.2306515927419</v>
      </c>
      <c r="Q74" s="810">
        <v>16.7481645188696</v>
      </c>
      <c r="R74" s="810">
        <v>25.5306787751775</v>
      </c>
      <c r="S74" s="810">
        <v>25.4698295300803</v>
      </c>
      <c r="T74" s="810">
        <v>31.1458034199191</v>
      </c>
      <c r="U74" s="810">
        <v>51.2296819787986</v>
      </c>
      <c r="V74" s="810">
        <v>61.0076923076923</v>
      </c>
      <c r="W74" s="810">
        <v>16.7577092511013</v>
      </c>
      <c r="X74" s="810">
        <v>13.7874188258374</v>
      </c>
      <c r="Y74" s="810">
        <v>14.4990090374824</v>
      </c>
      <c r="Z74" s="810">
        <v>18.6832859719444</v>
      </c>
      <c r="AA74" s="810">
        <v>14.3844108586953</v>
      </c>
      <c r="AB74" s="810">
        <v>19.288721407425</v>
      </c>
      <c r="AC74" s="810">
        <v>8.41649590974548</v>
      </c>
      <c r="AD74" s="810">
        <v>12.4029471667882</v>
      </c>
      <c r="AE74" s="810">
        <v>13.2279798520551</v>
      </c>
      <c r="AF74" s="810">
        <v>16.2475997583911</v>
      </c>
      <c r="AG74" s="810">
        <v>12.1112230000566</v>
      </c>
      <c r="AH74" s="810">
        <v>16.9627866328822</v>
      </c>
      <c r="AI74" s="810">
        <v>8.08317999593354</v>
      </c>
      <c r="AJ74" s="8"/>
      <c r="AK74" s="340" t="str">
        <f t="shared" si="11"/>
        <v>4Q22</v>
      </c>
      <c r="AL74" s="933">
        <f t="shared" si="12"/>
        <v>26.7196793058476</v>
      </c>
      <c r="AM74" s="810">
        <v>20.5352447802246</v>
      </c>
      <c r="AN74" s="810">
        <v>15.8189298015738</v>
      </c>
      <c r="AO74" s="810">
        <v>23.3795868128089</v>
      </c>
      <c r="AP74" s="810">
        <v>19.6012197335797</v>
      </c>
      <c r="AQ74" s="934">
        <v>27.5015829348704</v>
      </c>
      <c r="AR74" s="933">
        <f t="shared" si="13"/>
        <v>25.5306787751775</v>
      </c>
      <c r="AS74" s="810">
        <v>20.2398642719242</v>
      </c>
      <c r="AT74" s="810">
        <v>18.7604185139209</v>
      </c>
      <c r="AU74" s="810">
        <v>20.7677620339664</v>
      </c>
      <c r="AV74" s="810">
        <v>18.4233261339093</v>
      </c>
      <c r="AW74" s="934">
        <v>14.6806526806527</v>
      </c>
      <c r="AX74" s="933">
        <f t="shared" si="14"/>
        <v>13.7874188258374</v>
      </c>
      <c r="AY74" s="810">
        <v>13.0649532302836</v>
      </c>
      <c r="AZ74" s="810">
        <v>16.5122274222826</v>
      </c>
      <c r="BA74" s="810">
        <v>12.5234131462926</v>
      </c>
      <c r="BB74" s="810">
        <v>14.6980062164592</v>
      </c>
      <c r="BC74" s="934">
        <v>11.3790542079959</v>
      </c>
      <c r="BD74" s="933">
        <f t="shared" si="20"/>
        <v>12.4029471667882</v>
      </c>
      <c r="BE74" s="810">
        <v>13.2572136445254</v>
      </c>
      <c r="BF74" s="810">
        <v>16.3477708057932</v>
      </c>
      <c r="BG74" s="810">
        <v>12.1225667507274</v>
      </c>
      <c r="BH74" s="810">
        <v>13.9077997746548</v>
      </c>
      <c r="BI74" s="934">
        <v>10.0727315724473</v>
      </c>
      <c r="BJ74" s="8"/>
      <c r="BK74" s="340" t="str">
        <f t="shared" si="15"/>
        <v>4Q22</v>
      </c>
      <c r="BL74" s="933">
        <f t="shared" si="16"/>
        <v>26.7196793058476</v>
      </c>
      <c r="BM74" s="810">
        <v>13.9515096065874</v>
      </c>
      <c r="BN74" s="810">
        <v>17.179660415722</v>
      </c>
      <c r="BO74" s="810"/>
      <c r="BP74" s="810">
        <v>39.4152294902726</v>
      </c>
      <c r="BQ74" s="934">
        <v>18.420867479112</v>
      </c>
      <c r="BR74" s="933">
        <f t="shared" si="17"/>
        <v>25.5306787751775</v>
      </c>
      <c r="BS74" s="810">
        <v>13.1434235476642</v>
      </c>
      <c r="BT74" s="810">
        <v>15.7926252757643</v>
      </c>
      <c r="BU74" s="810">
        <v>11.5207306857749</v>
      </c>
      <c r="BV74" s="810">
        <v>19.5772945706592</v>
      </c>
      <c r="BW74" s="934">
        <v>19.3481871021312</v>
      </c>
      <c r="BX74" s="933">
        <f t="shared" si="18"/>
        <v>13.7874188258374</v>
      </c>
      <c r="BY74" s="810">
        <v>8.64752299415454</v>
      </c>
      <c r="BZ74" s="810">
        <v>7.56630329639244</v>
      </c>
      <c r="CA74" s="810"/>
      <c r="CB74" s="810">
        <v>16.3985899726758</v>
      </c>
      <c r="CC74" s="934">
        <v>13.0317764934829</v>
      </c>
      <c r="CD74" s="933">
        <f t="shared" si="21"/>
        <v>12.4029471667882</v>
      </c>
      <c r="CE74" s="810">
        <v>8.05740663100763</v>
      </c>
      <c r="CF74" s="810">
        <v>11.4551864034803</v>
      </c>
      <c r="CG74" s="810">
        <v>12.1940402897499</v>
      </c>
      <c r="CH74" s="810">
        <v>14.1615035463187</v>
      </c>
      <c r="CI74" s="934">
        <v>12.6911814506045</v>
      </c>
    </row>
    <row r="75" ht="14.25" customHeight="1" spans="1:87" x14ac:dyDescent="0.25">
      <c r="A75" s="8"/>
      <c r="B75" s="8"/>
      <c r="C75" s="8" t="s">
        <v>988</v>
      </c>
      <c r="D75" s="8"/>
      <c r="E75" s="753">
        <f>AVERAGE(BM81:BQ86)</f>
        <v>15.683339457774522</v>
      </c>
      <c r="F75" s="753">
        <f>AVERAGE(BS81:BW86)</f>
        <v>16.168745623234717</v>
      </c>
      <c r="G75" s="753">
        <f>AVERAGE(BY81:CC86)</f>
        <v>10.768373282856134</v>
      </c>
      <c r="H75" s="753">
        <f>AVERAGE(CE81:CI86)</f>
        <v>11.620890184734101</v>
      </c>
      <c r="I75" s="75">
        <v>4</v>
      </c>
      <c r="J75" s="7">
        <v>2022</v>
      </c>
      <c r="K75" s="340" t="s">
        <v>1137</v>
      </c>
      <c r="L75" s="933">
        <v>27.4438625663644</v>
      </c>
      <c r="M75" s="810">
        <v>28.5860746205692</v>
      </c>
      <c r="N75" s="810">
        <v>41.5690733507178</v>
      </c>
      <c r="O75" s="810"/>
      <c r="P75" s="810">
        <v>72.9961170587139</v>
      </c>
      <c r="Q75" s="810">
        <v>19.3403785889962</v>
      </c>
      <c r="R75" s="810">
        <v>25.3579025843308</v>
      </c>
      <c r="S75" s="810">
        <v>26.3402817463429</v>
      </c>
      <c r="T75" s="810">
        <v>32.0228759682366</v>
      </c>
      <c r="U75" s="810">
        <v>68.1154897840024</v>
      </c>
      <c r="V75" s="810">
        <v>66.3617459494425</v>
      </c>
      <c r="W75" s="810">
        <v>20.2154440904129</v>
      </c>
      <c r="X75" s="810">
        <v>13.8460683102588</v>
      </c>
      <c r="Y75" s="810">
        <v>14.6988760298766</v>
      </c>
      <c r="Z75" s="810">
        <v>19.3244863400839</v>
      </c>
      <c r="AA75" s="810">
        <v>15.5720100951883</v>
      </c>
      <c r="AB75" s="810">
        <v>19.5595103930516</v>
      </c>
      <c r="AC75" s="810">
        <v>9.38380494106413</v>
      </c>
      <c r="AD75" s="810">
        <v>12.4590688859128</v>
      </c>
      <c r="AE75" s="810">
        <v>13.4581823614286</v>
      </c>
      <c r="AF75" s="810">
        <v>16.661015709412</v>
      </c>
      <c r="AG75" s="810">
        <v>12.9482813410446</v>
      </c>
      <c r="AH75" s="810">
        <v>17.1513338772814</v>
      </c>
      <c r="AI75" s="810">
        <v>9.20746076652017</v>
      </c>
      <c r="AJ75" s="8"/>
      <c r="AK75" s="340" t="str">
        <f t="shared" si="11"/>
        <v>1Q23</v>
      </c>
      <c r="AL75" s="933">
        <f t="shared" si="12"/>
        <v>27.4438625663644</v>
      </c>
      <c r="AM75" s="810">
        <v>14.4221283831607</v>
      </c>
      <c r="AN75" s="810">
        <v>10.8122994961928</v>
      </c>
      <c r="AO75" s="810">
        <v>15.6007113151191</v>
      </c>
      <c r="AP75" s="810">
        <v>13.7731368724422</v>
      </c>
      <c r="AQ75" s="934">
        <v>14.6417832875778</v>
      </c>
      <c r="AR75" s="933">
        <f t="shared" si="13"/>
        <v>25.3579025843308</v>
      </c>
      <c r="AS75" s="810">
        <v>14.8865768377963</v>
      </c>
      <c r="AT75" s="810">
        <v>12.8079075362167</v>
      </c>
      <c r="AU75" s="810">
        <v>15.1771575613618</v>
      </c>
      <c r="AV75" s="810">
        <v>14.1033461918005</v>
      </c>
      <c r="AW75" s="934">
        <v>10.7540983606557</v>
      </c>
      <c r="AX75" s="933">
        <f t="shared" si="14"/>
        <v>13.8460683102588</v>
      </c>
      <c r="AY75" s="810">
        <v>10.34267476703</v>
      </c>
      <c r="AZ75" s="810">
        <v>12.1148132616025</v>
      </c>
      <c r="BA75" s="810">
        <v>9.03738404817861</v>
      </c>
      <c r="BB75" s="810">
        <v>11.1133530619828</v>
      </c>
      <c r="BC75" s="934">
        <v>8.3832981092452</v>
      </c>
      <c r="BD75" s="933">
        <f t="shared" si="20"/>
        <v>12.4590688859128</v>
      </c>
      <c r="BE75" s="810">
        <v>9.75558167960826</v>
      </c>
      <c r="BF75" s="810">
        <v>11.0823430725226</v>
      </c>
      <c r="BG75" s="810">
        <v>8.69455203771838</v>
      </c>
      <c r="BH75" s="810">
        <v>10.407686029648</v>
      </c>
      <c r="BI75" s="934">
        <v>6.865640275054</v>
      </c>
      <c r="BJ75" s="8"/>
      <c r="BK75" s="340" t="str">
        <f t="shared" si="15"/>
        <v>1Q23</v>
      </c>
      <c r="BL75" s="933">
        <f t="shared" si="16"/>
        <v>27.4438625663644</v>
      </c>
      <c r="BM75" s="810">
        <v>11.1878312459125</v>
      </c>
      <c r="BN75" s="810">
        <v>15.8605218246713</v>
      </c>
      <c r="BO75" s="810">
        <v>13.074326127188</v>
      </c>
      <c r="BP75" s="810">
        <v>14.3644481864395</v>
      </c>
      <c r="BQ75" s="934">
        <v>13.5962086905669</v>
      </c>
      <c r="BR75" s="933">
        <f t="shared" si="17"/>
        <v>25.3579025843308</v>
      </c>
      <c r="BS75" s="810">
        <v>10.9166666666667</v>
      </c>
      <c r="BT75" s="810">
        <v>13.0018303843807</v>
      </c>
      <c r="BU75" s="810">
        <v>10.3656311937322</v>
      </c>
      <c r="BV75" s="810">
        <v>16.5294632803703</v>
      </c>
      <c r="BW75" s="934">
        <v>14.8943908238915</v>
      </c>
      <c r="BX75" s="933">
        <f t="shared" si="18"/>
        <v>13.8460683102588</v>
      </c>
      <c r="BY75" s="810">
        <v>6.87881904030835</v>
      </c>
      <c r="BZ75" s="810">
        <v>7.01023473851751</v>
      </c>
      <c r="CA75" s="810"/>
      <c r="CB75" s="810">
        <v>13.2075042312185</v>
      </c>
      <c r="CC75" s="934">
        <v>12.1601264994065</v>
      </c>
      <c r="CD75" s="933">
        <f t="shared" si="21"/>
        <v>12.4590688859128</v>
      </c>
      <c r="CE75" s="810">
        <v>6.20970342265055</v>
      </c>
      <c r="CF75" s="810">
        <v>8.90335407157496</v>
      </c>
      <c r="CG75" s="810">
        <v>8.68511867524407</v>
      </c>
      <c r="CH75" s="810">
        <v>11.7936329650704</v>
      </c>
      <c r="CI75" s="934">
        <v>9.85973157777744</v>
      </c>
    </row>
    <row r="76" ht="14.25" customHeight="1" spans="1:87" x14ac:dyDescent="0.25">
      <c r="A76" s="257"/>
      <c r="B76" s="8"/>
      <c r="C76" s="8" t="s">
        <v>985</v>
      </c>
      <c r="D76" s="8"/>
      <c r="E76" s="753">
        <f>AVERAGE(BM77:BQ86)</f>
        <v>15.757842039857469</v>
      </c>
      <c r="F76" s="753">
        <f>AVERAGE(BS77:BW86)</f>
        <v>16.211283525086312</v>
      </c>
      <c r="G76" s="753">
        <f>AVERAGE(BY77:CC86)</f>
        <v>10.797620950823877</v>
      </c>
      <c r="H76" s="753">
        <f>AVERAGE(CE77:CI86)</f>
        <v>11.601419698040905</v>
      </c>
      <c r="I76" s="75">
        <v>1</v>
      </c>
      <c r="J76" s="7">
        <v>2023</v>
      </c>
      <c r="K76" s="340" t="s">
        <v>1138</v>
      </c>
      <c r="L76" s="933">
        <v>30.4925147316452</v>
      </c>
      <c r="M76" s="810">
        <v>30.9969721559894</v>
      </c>
      <c r="N76" s="810">
        <v>41.468663204997</v>
      </c>
      <c r="O76" s="810"/>
      <c r="P76" s="810">
        <v>81.9574093303685</v>
      </c>
      <c r="Q76" s="810">
        <v>20.8262088776417</v>
      </c>
      <c r="R76" s="810">
        <v>27.6080109583751</v>
      </c>
      <c r="S76" s="810">
        <v>27.0896061692899</v>
      </c>
      <c r="T76" s="810">
        <v>31.8056873028787</v>
      </c>
      <c r="U76" s="810">
        <v>48.2223273556235</v>
      </c>
      <c r="V76" s="810">
        <v>74.6010292902136</v>
      </c>
      <c r="W76" s="810">
        <v>22.1298337427328</v>
      </c>
      <c r="X76" s="810">
        <v>14.8155299967805</v>
      </c>
      <c r="Y76" s="810">
        <v>15.408015920446</v>
      </c>
      <c r="Z76" s="810">
        <v>19.1314021825764</v>
      </c>
      <c r="AA76" s="810">
        <v>15.9728436788533</v>
      </c>
      <c r="AB76" s="810">
        <v>23.0370465009867</v>
      </c>
      <c r="AC76" s="810">
        <v>10.3498554087437</v>
      </c>
      <c r="AD76" s="810">
        <v>13.4485039552604</v>
      </c>
      <c r="AE76" s="810">
        <v>13.9790356674638</v>
      </c>
      <c r="AF76" s="810">
        <v>16.7103640624745</v>
      </c>
      <c r="AG76" s="810">
        <v>13.5359159793432</v>
      </c>
      <c r="AH76" s="810">
        <v>18.9238976180511</v>
      </c>
      <c r="AI76" s="810">
        <v>10.2713107502258</v>
      </c>
      <c r="AJ76" s="8"/>
      <c r="AK76" s="340" t="str">
        <f t="shared" si="11"/>
        <v>2Q23</v>
      </c>
      <c r="AL76" s="933">
        <f t="shared" si="12"/>
        <v>30.4925147316452</v>
      </c>
      <c r="AM76" s="810">
        <v>15.0141768323488</v>
      </c>
      <c r="AN76" s="810">
        <v>11.762100009524</v>
      </c>
      <c r="AO76" s="810">
        <v>17.508231022493</v>
      </c>
      <c r="AP76" s="810">
        <v>14.9484539723962</v>
      </c>
      <c r="AQ76" s="934">
        <v>15.3815249519327</v>
      </c>
      <c r="AR76" s="933">
        <f t="shared" si="13"/>
        <v>27.6080109583751</v>
      </c>
      <c r="AS76" s="810">
        <v>15.4657873042045</v>
      </c>
      <c r="AT76" s="810">
        <v>14.2096663679966</v>
      </c>
      <c r="AU76" s="810">
        <v>15.6938458886399</v>
      </c>
      <c r="AV76" s="810">
        <v>14.4436860068259</v>
      </c>
      <c r="AW76" s="934">
        <v>10.8648648648649</v>
      </c>
      <c r="AX76" s="933">
        <f t="shared" si="14"/>
        <v>14.8155299967805</v>
      </c>
      <c r="AY76" s="810">
        <v>10.6573226693313</v>
      </c>
      <c r="AZ76" s="810">
        <v>11.9267964065934</v>
      </c>
      <c r="BA76" s="810">
        <v>10.5195834978257</v>
      </c>
      <c r="BB76" s="810">
        <v>11.1280202944651</v>
      </c>
      <c r="BC76" s="934">
        <v>8.79239651976119</v>
      </c>
      <c r="BD76" s="933">
        <f t="shared" si="20"/>
        <v>13.4485039552604</v>
      </c>
      <c r="BE76" s="810">
        <v>10.7614328987076</v>
      </c>
      <c r="BF76" s="810">
        <v>12.3090957616733</v>
      </c>
      <c r="BG76" s="810">
        <v>10.5491686402801</v>
      </c>
      <c r="BH76" s="810">
        <v>11.7553981851193</v>
      </c>
      <c r="BI76" s="934">
        <v>7.10118619238793</v>
      </c>
      <c r="BJ76" s="8"/>
      <c r="BK76" s="340" t="str">
        <f t="shared" si="15"/>
        <v>2Q23</v>
      </c>
      <c r="BL76" s="933">
        <f t="shared" si="16"/>
        <v>30.4925147316452</v>
      </c>
      <c r="BM76" s="810">
        <v>11.7349442544677</v>
      </c>
      <c r="BN76" s="810">
        <v>16.6874232849898</v>
      </c>
      <c r="BO76" s="810">
        <v>16.2847068834266</v>
      </c>
      <c r="BP76" s="810">
        <v>17.6336803738979</v>
      </c>
      <c r="BQ76" s="934">
        <v>16.5229079241118</v>
      </c>
      <c r="BR76" s="933">
        <f t="shared" si="17"/>
        <v>27.6080109583751</v>
      </c>
      <c r="BS76" s="810">
        <v>11.0082872928177</v>
      </c>
      <c r="BT76" s="810">
        <v>14.28418230563</v>
      </c>
      <c r="BU76" s="810">
        <v>18.0978260869565</v>
      </c>
      <c r="BV76" s="810">
        <v>19.9272727272727</v>
      </c>
      <c r="BW76" s="934">
        <v>16.362828488003</v>
      </c>
      <c r="BX76" s="933">
        <f t="shared" si="18"/>
        <v>14.8155299967805</v>
      </c>
      <c r="BY76" s="810">
        <v>6.9750558793406</v>
      </c>
      <c r="BZ76" s="810">
        <v>7.30111782573552</v>
      </c>
      <c r="CA76" s="810"/>
      <c r="CB76" s="810">
        <v>15.4025408311834</v>
      </c>
      <c r="CC76" s="934">
        <v>12.8108272529198</v>
      </c>
      <c r="CD76" s="933">
        <f t="shared" si="21"/>
        <v>13.4485039552604</v>
      </c>
      <c r="CE76" s="810">
        <v>6.39685994049379</v>
      </c>
      <c r="CF76" s="810">
        <v>10.4551699244796</v>
      </c>
      <c r="CG76" s="810">
        <v>12.5074224642109</v>
      </c>
      <c r="CH76" s="810">
        <v>13.9698695489038</v>
      </c>
      <c r="CI76" s="934">
        <v>11.484140436493</v>
      </c>
    </row>
    <row r="77" ht="14.25" customHeight="1" spans="1:87" x14ac:dyDescent="0.25">
      <c r="A77" s="8"/>
      <c r="B77" s="8"/>
      <c r="C77" s="8" t="s">
        <v>990</v>
      </c>
      <c r="D77" s="8"/>
      <c r="E77" s="753">
        <f>AVERAGE(BM73:BQ86)</f>
        <v>26.530528095386988</v>
      </c>
      <c r="F77" s="753">
        <f>AVERAGE(BS73:BW86)</f>
        <v>15.846016840935276</v>
      </c>
      <c r="G77" s="753">
        <f>AVERAGE(BY73:CC86)</f>
        <v>10.720945442413932</v>
      </c>
      <c r="H77" s="753">
        <f>AVERAGE(CE73:CI86)</f>
        <v>11.2817955771977</v>
      </c>
      <c r="I77" s="75">
        <v>2</v>
      </c>
      <c r="J77" s="7">
        <v>2023</v>
      </c>
      <c r="K77" s="340" t="s">
        <v>1139</v>
      </c>
      <c r="L77" s="933">
        <v>27.8332341823599</v>
      </c>
      <c r="M77" s="810">
        <v>26.893069001257</v>
      </c>
      <c r="N77" s="810">
        <v>39.0731260973861</v>
      </c>
      <c r="O77" s="810"/>
      <c r="P77" s="810">
        <v>77.7915756719337</v>
      </c>
      <c r="Q77" s="810">
        <v>22.1327560690183</v>
      </c>
      <c r="R77" s="810">
        <v>24.6623842730429</v>
      </c>
      <c r="S77" s="810">
        <v>23.4686603892436</v>
      </c>
      <c r="T77" s="810">
        <v>28.7803995276476</v>
      </c>
      <c r="U77" s="810">
        <v>35.935700472415</v>
      </c>
      <c r="V77" s="810">
        <v>60.8764437384557</v>
      </c>
      <c r="W77" s="810">
        <v>21.3700043712487</v>
      </c>
      <c r="X77" s="810">
        <v>13.6641296165828</v>
      </c>
      <c r="Y77" s="810">
        <v>13.7188637963436</v>
      </c>
      <c r="Z77" s="810">
        <v>17.5988913140641</v>
      </c>
      <c r="AA77" s="810">
        <v>12.7413226312939</v>
      </c>
      <c r="AB77" s="810">
        <v>19.5726268673693</v>
      </c>
      <c r="AC77" s="810">
        <v>10.6629403152081</v>
      </c>
      <c r="AD77" s="810">
        <v>12.4021370511466</v>
      </c>
      <c r="AE77" s="810">
        <v>12.4769649129302</v>
      </c>
      <c r="AF77" s="810">
        <v>15.2301256119679</v>
      </c>
      <c r="AG77" s="810">
        <v>11.2926012568959</v>
      </c>
      <c r="AH77" s="810">
        <v>14.7794206439511</v>
      </c>
      <c r="AI77" s="810">
        <v>10.0674217703106</v>
      </c>
      <c r="AJ77" s="8"/>
      <c r="AK77" s="340" t="str">
        <f t="shared" si="11"/>
        <v>3Q23</v>
      </c>
      <c r="AL77" s="933">
        <f t="shared" si="12"/>
        <v>27.8332341823599</v>
      </c>
      <c r="AM77" s="810">
        <v>17.3634726868954</v>
      </c>
      <c r="AN77" s="810">
        <v>13.7604420785299</v>
      </c>
      <c r="AO77" s="810">
        <v>15.9963201471941</v>
      </c>
      <c r="AP77" s="810">
        <v>16.1045172719221</v>
      </c>
      <c r="AQ77" s="934">
        <v>11.9194558530206</v>
      </c>
      <c r="AR77" s="933">
        <f t="shared" si="13"/>
        <v>24.6623842730429</v>
      </c>
      <c r="AS77" s="810">
        <v>17.6974004478629</v>
      </c>
      <c r="AT77" s="810">
        <v>16.781448010803</v>
      </c>
      <c r="AU77" s="810">
        <v>14.9961190168176</v>
      </c>
      <c r="AV77" s="810">
        <v>15.4753596050728</v>
      </c>
      <c r="AW77" s="934">
        <v>11.1576576576577</v>
      </c>
      <c r="AX77" s="933">
        <f t="shared" si="14"/>
        <v>13.6641296165828</v>
      </c>
      <c r="AY77" s="810">
        <v>12.2283175827312</v>
      </c>
      <c r="AZ77" s="810">
        <v>13.1078993174288</v>
      </c>
      <c r="BA77" s="810">
        <v>9.71872496814218</v>
      </c>
      <c r="BB77" s="810">
        <v>11.9214193883622</v>
      </c>
      <c r="BC77" s="934">
        <v>9.20228078793905</v>
      </c>
      <c r="BD77" s="933">
        <f t="shared" si="20"/>
        <v>12.4021370511466</v>
      </c>
      <c r="BE77" s="810">
        <v>12.4269354419136</v>
      </c>
      <c r="BF77" s="810">
        <v>13.9990817601658</v>
      </c>
      <c r="BG77" s="810">
        <v>10.1973626177734</v>
      </c>
      <c r="BH77" s="810">
        <v>12.5116255609596</v>
      </c>
      <c r="BI77" s="934">
        <v>8.28856515319408</v>
      </c>
      <c r="BJ77" s="8"/>
      <c r="BK77" s="340" t="str">
        <f t="shared" si="15"/>
        <v>3Q23</v>
      </c>
      <c r="BL77" s="933">
        <f t="shared" si="16"/>
        <v>27.8332341823599</v>
      </c>
      <c r="BM77" s="810">
        <v>11.792353858178</v>
      </c>
      <c r="BN77" s="810">
        <v>16.6425212350074</v>
      </c>
      <c r="BO77" s="810">
        <v>17.2716685418764</v>
      </c>
      <c r="BP77" s="810">
        <v>19.7359258736756</v>
      </c>
      <c r="BQ77" s="934">
        <v>16.2270045772118</v>
      </c>
      <c r="BR77" s="933">
        <f t="shared" si="17"/>
        <v>24.6623842730429</v>
      </c>
      <c r="BS77" s="810">
        <v>11.0490474260235</v>
      </c>
      <c r="BT77" s="810">
        <v>16.1259244842351</v>
      </c>
      <c r="BU77" s="810">
        <v>18.1034482758621</v>
      </c>
      <c r="BV77" s="810">
        <v>21.5383666419936</v>
      </c>
      <c r="BW77" s="934">
        <v>16.3219255359158</v>
      </c>
      <c r="BX77" s="933">
        <f t="shared" si="18"/>
        <v>13.6641296165828</v>
      </c>
      <c r="BY77" s="810">
        <v>6.96557670431564</v>
      </c>
      <c r="BZ77" s="810">
        <v>7.30308788720167</v>
      </c>
      <c r="CA77" s="810"/>
      <c r="CB77" s="810">
        <v>16.9369454545127</v>
      </c>
      <c r="CC77" s="934">
        <v>12.7204185574551</v>
      </c>
      <c r="CD77" s="933">
        <f t="shared" si="21"/>
        <v>12.4021370511466</v>
      </c>
      <c r="CE77" s="810">
        <v>6.76748090467348</v>
      </c>
      <c r="CF77" s="810">
        <v>11.6576939551152</v>
      </c>
      <c r="CG77" s="810">
        <v>12.7447865854973</v>
      </c>
      <c r="CH77" s="810">
        <v>15.2325098937223</v>
      </c>
      <c r="CI77" s="934">
        <v>11.5699365324391</v>
      </c>
    </row>
    <row r="78" ht="14.25" customHeight="1" spans="1:87" x14ac:dyDescent="0.25">
      <c r="A78" s="8"/>
      <c r="B78" s="8"/>
      <c r="C78" s="8" t="s">
        <v>991</v>
      </c>
      <c r="D78" s="8"/>
      <c r="E78" s="753">
        <f>AVERAGE(BM65:BQ86)</f>
        <v>37.96256935397822</v>
      </c>
      <c r="F78" s="753">
        <f>AVERAGE(BS65:BW86)</f>
        <v>17.18236554677514</v>
      </c>
      <c r="G78" s="753">
        <f>AVERAGE(BY65:CC86)</f>
        <v>12.017610025365714</v>
      </c>
      <c r="H78" s="753">
        <f>AVERAGE(CE65:CI86)</f>
        <v>11.514027269594164</v>
      </c>
      <c r="I78" s="75">
        <v>3</v>
      </c>
      <c r="J78" s="7">
        <v>2023</v>
      </c>
      <c r="K78" s="340" t="s">
        <v>1140</v>
      </c>
      <c r="L78" s="933">
        <v>30.99330818185</v>
      </c>
      <c r="M78" s="810">
        <v>31.1809429597661</v>
      </c>
      <c r="N78" s="810">
        <v>42.5047233007152</v>
      </c>
      <c r="O78" s="810"/>
      <c r="P78" s="810">
        <v>98.0658783299195</v>
      </c>
      <c r="Q78" s="810">
        <v>25.6399519553934</v>
      </c>
      <c r="R78" s="810">
        <v>27.7938202247191</v>
      </c>
      <c r="S78" s="810">
        <v>26.5944019600564</v>
      </c>
      <c r="T78" s="810">
        <v>31.5481348409595</v>
      </c>
      <c r="U78" s="810">
        <v>36.3740053050398</v>
      </c>
      <c r="V78" s="810">
        <v>73.2215422276622</v>
      </c>
      <c r="W78" s="810">
        <v>22.0526537489469</v>
      </c>
      <c r="X78" s="810">
        <v>14.918769501671</v>
      </c>
      <c r="Y78" s="810">
        <v>15.3391366624035</v>
      </c>
      <c r="Z78" s="810">
        <v>18.654634151498</v>
      </c>
      <c r="AA78" s="810">
        <v>13.9046858878338</v>
      </c>
      <c r="AB78" s="810">
        <v>21.5222009388679</v>
      </c>
      <c r="AC78" s="810">
        <v>11.5302126041827</v>
      </c>
      <c r="AD78" s="810">
        <v>13.5548067480234</v>
      </c>
      <c r="AE78" s="810">
        <v>13.859237550934</v>
      </c>
      <c r="AF78" s="810">
        <v>16.3174576280527</v>
      </c>
      <c r="AG78" s="810">
        <v>12.312536648899</v>
      </c>
      <c r="AH78" s="810">
        <v>16.132197748617</v>
      </c>
      <c r="AI78" s="810">
        <v>10.2403618666858</v>
      </c>
      <c r="AJ78" s="8"/>
      <c r="AK78" s="340" t="str">
        <f t="shared" si="11"/>
        <v>4Q23</v>
      </c>
      <c r="AL78" s="933">
        <f t="shared" si="12"/>
        <v>30.99330818185</v>
      </c>
      <c r="AM78" s="810">
        <v>18.6301264131882</v>
      </c>
      <c r="AN78" s="810">
        <v>15.9613632713695</v>
      </c>
      <c r="AO78" s="810">
        <v>18.048758049678</v>
      </c>
      <c r="AP78" s="810">
        <v>16.185119574845</v>
      </c>
      <c r="AQ78" s="934">
        <v>13.7143517081586</v>
      </c>
      <c r="AR78" s="933">
        <f t="shared" si="13"/>
        <v>27.7938202247191</v>
      </c>
      <c r="AS78" s="810">
        <v>18.3782510365624</v>
      </c>
      <c r="AT78" s="810">
        <v>19.0626112608718</v>
      </c>
      <c r="AU78" s="810">
        <v>16.9392160248662</v>
      </c>
      <c r="AV78" s="810">
        <v>15.3839030139754</v>
      </c>
      <c r="AW78" s="934">
        <v>12.4183006535948</v>
      </c>
      <c r="AX78" s="933">
        <f t="shared" si="14"/>
        <v>14.918769501671</v>
      </c>
      <c r="AY78" s="810">
        <v>13.0108331657086</v>
      </c>
      <c r="AZ78" s="810">
        <v>14.7207664372533</v>
      </c>
      <c r="BA78" s="810">
        <v>10.8634721764166</v>
      </c>
      <c r="BB78" s="810">
        <v>11.9670120353024</v>
      </c>
      <c r="BC78" s="934">
        <v>10.344170119619</v>
      </c>
      <c r="BD78" s="933">
        <f t="shared" si="20"/>
        <v>13.5548067480234</v>
      </c>
      <c r="BE78" s="810">
        <v>12.9638305850015</v>
      </c>
      <c r="BF78" s="810">
        <v>15.8491313030872</v>
      </c>
      <c r="BG78" s="810">
        <v>11.268157797573</v>
      </c>
      <c r="BH78" s="810">
        <v>12.4472527602547</v>
      </c>
      <c r="BI78" s="934">
        <v>9.13104550281631</v>
      </c>
      <c r="BJ78" s="8"/>
      <c r="BK78" s="340" t="str">
        <f t="shared" si="15"/>
        <v>4Q23</v>
      </c>
      <c r="BL78" s="933">
        <f t="shared" si="16"/>
        <v>30.99330818185</v>
      </c>
      <c r="BM78" s="810">
        <v>10.9288444920865</v>
      </c>
      <c r="BN78" s="810">
        <v>16.7407934072159</v>
      </c>
      <c r="BO78" s="810">
        <v>14.7055920727976</v>
      </c>
      <c r="BP78" s="810">
        <v>19.126631867953</v>
      </c>
      <c r="BQ78" s="934">
        <v>17.0146748454758</v>
      </c>
      <c r="BR78" s="933">
        <f t="shared" si="17"/>
        <v>27.7938202247191</v>
      </c>
      <c r="BS78" s="810">
        <v>10.6852212164791</v>
      </c>
      <c r="BT78" s="810">
        <v>16.9204534055572</v>
      </c>
      <c r="BU78" s="810">
        <v>14.9748743718593</v>
      </c>
      <c r="BV78" s="810">
        <v>20.8811551277305</v>
      </c>
      <c r="BW78" s="934">
        <v>17.0012453300125</v>
      </c>
      <c r="BX78" s="933">
        <f t="shared" si="18"/>
        <v>14.918769501671</v>
      </c>
      <c r="BY78" s="810">
        <v>6.35997189641845</v>
      </c>
      <c r="BZ78" s="810">
        <v>7.48257527449524</v>
      </c>
      <c r="CA78" s="810"/>
      <c r="CB78" s="810">
        <v>16.2659380049987</v>
      </c>
      <c r="CC78" s="934">
        <v>13.1653885302904</v>
      </c>
      <c r="CD78" s="933">
        <f t="shared" si="21"/>
        <v>13.5548067480234</v>
      </c>
      <c r="CE78" s="810">
        <v>6.44909324484202</v>
      </c>
      <c r="CF78" s="810">
        <v>12.6021043694989</v>
      </c>
      <c r="CG78" s="810">
        <v>11.8642050200603</v>
      </c>
      <c r="CH78" s="810">
        <v>14.6422639702643</v>
      </c>
      <c r="CI78" s="934">
        <v>11.8026554700342</v>
      </c>
    </row>
    <row r="79" ht="14.25" customHeight="1" spans="1:87" x14ac:dyDescent="0.25">
      <c r="A79" s="8"/>
      <c r="B79" s="8"/>
      <c r="C79" s="932" t="s">
        <v>1050</v>
      </c>
      <c r="D79" s="932"/>
      <c r="E79" s="932"/>
      <c r="F79" s="932"/>
      <c r="G79" s="932"/>
      <c r="H79" s="932"/>
      <c r="I79" s="75">
        <v>4</v>
      </c>
      <c r="J79" s="7">
        <v>2023</v>
      </c>
      <c r="K79" s="340" t="s">
        <v>1141</v>
      </c>
      <c r="L79" s="933">
        <v>34.1293460140564</v>
      </c>
      <c r="M79" s="810">
        <v>34.7065388324079</v>
      </c>
      <c r="N79" s="810">
        <v>46.0792087695423</v>
      </c>
      <c r="O79" s="810"/>
      <c r="P79" s="810">
        <v>133.934256120987</v>
      </c>
      <c r="Q79" s="810">
        <v>28.0675757804329</v>
      </c>
      <c r="R79" s="810">
        <v>31.0656510912448</v>
      </c>
      <c r="S79" s="810">
        <v>29.854539018919</v>
      </c>
      <c r="T79" s="810">
        <v>34.9364732522943</v>
      </c>
      <c r="U79" s="810">
        <v>36.6510168588055</v>
      </c>
      <c r="V79" s="810">
        <v>109.842902211612</v>
      </c>
      <c r="W79" s="810">
        <v>26.1081263085249</v>
      </c>
      <c r="X79" s="810">
        <v>16.3948751419487</v>
      </c>
      <c r="Y79" s="810">
        <v>17.1923427890405</v>
      </c>
      <c r="Z79" s="810">
        <v>20.3394784240153</v>
      </c>
      <c r="AA79" s="810">
        <v>13.331869525942</v>
      </c>
      <c r="AB79" s="810">
        <v>22.2555215510704</v>
      </c>
      <c r="AC79" s="810">
        <v>12.4699574138776</v>
      </c>
      <c r="AD79" s="810">
        <v>14.7962444866925</v>
      </c>
      <c r="AE79" s="810">
        <v>15.5551739937378</v>
      </c>
      <c r="AF79" s="810">
        <v>17.5314867524042</v>
      </c>
      <c r="AG79" s="810">
        <v>11.7686431759278</v>
      </c>
      <c r="AH79" s="810">
        <v>18.0032126082729</v>
      </c>
      <c r="AI79" s="810">
        <v>11.3178236128075</v>
      </c>
      <c r="AJ79" s="8"/>
      <c r="AK79" s="935" t="str">
        <f t="shared" si="11"/>
        <v>1Q24</v>
      </c>
      <c r="AL79" s="933">
        <f t="shared" si="12"/>
        <v>34.1293460140564</v>
      </c>
      <c r="AM79" s="810">
        <v>18.285283104649</v>
      </c>
      <c r="AN79" s="810">
        <v>15.531229783089</v>
      </c>
      <c r="AO79" s="810">
        <v>18.4342230802955</v>
      </c>
      <c r="AP79" s="810">
        <v>15.7918506010747</v>
      </c>
      <c r="AQ79" s="934">
        <v>13.3630724097093</v>
      </c>
      <c r="AR79" s="933">
        <f t="shared" si="13"/>
        <v>31.0656510912448</v>
      </c>
      <c r="AS79" s="810">
        <v>18.0372200865908</v>
      </c>
      <c r="AT79" s="810">
        <v>18.548904045644</v>
      </c>
      <c r="AU79" s="810">
        <v>17.3009847075473</v>
      </c>
      <c r="AV79" s="810">
        <v>15.0214839738927</v>
      </c>
      <c r="AW79" s="934">
        <v>12.1266380876433</v>
      </c>
      <c r="AX79" s="933">
        <f t="shared" si="14"/>
        <v>16.3948751419487</v>
      </c>
      <c r="AY79" s="810">
        <v>12.7963238557254</v>
      </c>
      <c r="AZ79" s="810">
        <v>14.3983930880516</v>
      </c>
      <c r="BA79" s="810">
        <v>11.0784790142357</v>
      </c>
      <c r="BB79" s="810">
        <v>11.7401868085495</v>
      </c>
      <c r="BC79" s="934">
        <v>10.1213801363892</v>
      </c>
      <c r="BD79" s="933">
        <f t="shared" si="20"/>
        <v>14.7962444866925</v>
      </c>
      <c r="BE79" s="810">
        <v>12.7838345671624</v>
      </c>
      <c r="BF79" s="810">
        <v>15.5062457521629</v>
      </c>
      <c r="BG79" s="810">
        <v>11.4931908863573</v>
      </c>
      <c r="BH79" s="810">
        <v>12.2156576237082</v>
      </c>
      <c r="BI79" s="934">
        <v>8.94832314922583</v>
      </c>
      <c r="BJ79" s="8"/>
      <c r="BK79" s="935" t="str">
        <f t="shared" si="15"/>
        <v>1Q24</v>
      </c>
      <c r="BL79" s="933">
        <f t="shared" si="16"/>
        <v>34.1293460140564</v>
      </c>
      <c r="BM79" s="810">
        <v>11.2645577634905</v>
      </c>
      <c r="BN79" s="810">
        <v>16.9769983363012</v>
      </c>
      <c r="BO79" s="810">
        <v>14.6397946127696</v>
      </c>
      <c r="BP79" s="810">
        <v>18.4969909334805</v>
      </c>
      <c r="BQ79" s="934">
        <v>17.0383556428308</v>
      </c>
      <c r="BR79" s="933">
        <f t="shared" si="17"/>
        <v>31.0656510912448</v>
      </c>
      <c r="BS79" s="810">
        <v>11.0988919387388</v>
      </c>
      <c r="BT79" s="810">
        <v>17.1678038497184</v>
      </c>
      <c r="BU79" s="810">
        <v>15.3184158666614</v>
      </c>
      <c r="BV79" s="810">
        <v>20.2337090247079</v>
      </c>
      <c r="BW79" s="934">
        <v>17.0249074363471</v>
      </c>
      <c r="BX79" s="933">
        <f t="shared" si="18"/>
        <v>16.3948751419487</v>
      </c>
      <c r="BY79" s="810">
        <v>6.55210704601697</v>
      </c>
      <c r="BZ79" s="810">
        <v>7.58057147914367</v>
      </c>
      <c r="CA79" s="810"/>
      <c r="CB79" s="810">
        <v>15.7600485469973</v>
      </c>
      <c r="CC79" s="934">
        <v>13.1807660592666</v>
      </c>
      <c r="CD79" s="933">
        <f t="shared" si="21"/>
        <v>14.7962444866925</v>
      </c>
      <c r="CE79" s="810">
        <v>6.6876218938895</v>
      </c>
      <c r="CF79" s="810">
        <v>13.0119608316293</v>
      </c>
      <c r="CG79" s="810">
        <v>12.4521138558247</v>
      </c>
      <c r="CH79" s="810">
        <v>14.1638045774507</v>
      </c>
      <c r="CI79" s="934">
        <v>11.7889497648763</v>
      </c>
    </row>
    <row r="80" ht="14.25" customHeight="1" spans="1:87" x14ac:dyDescent="0.25">
      <c r="A80" s="8"/>
      <c r="B80" s="8"/>
      <c r="C80" s="75"/>
      <c r="D80" s="8"/>
      <c r="E80" s="75" t="s">
        <v>1039</v>
      </c>
      <c r="F80" s="75" t="s">
        <v>1040</v>
      </c>
      <c r="G80" s="75" t="s">
        <v>1041</v>
      </c>
      <c r="H80" s="75" t="s">
        <v>1042</v>
      </c>
      <c r="I80" s="75">
        <v>1</v>
      </c>
      <c r="J80" s="7">
        <v>2024</v>
      </c>
      <c r="K80" s="340" t="s">
        <v>1142</v>
      </c>
      <c r="L80" s="933">
        <v>33.4569418764397</v>
      </c>
      <c r="M80" s="810">
        <v>32.3720549684595</v>
      </c>
      <c r="N80" s="810">
        <v>44.4897054129987</v>
      </c>
      <c r="O80" s="810"/>
      <c r="P80" s="810">
        <v>141.593981185496</v>
      </c>
      <c r="Q80" s="810">
        <v>31.8019730582515</v>
      </c>
      <c r="R80" s="810">
        <v>30.4345522967616</v>
      </c>
      <c r="S80" s="810">
        <v>27.7917750745992</v>
      </c>
      <c r="T80" s="810">
        <v>34.6115053087646</v>
      </c>
      <c r="U80" s="810">
        <v>42.3550040901951</v>
      </c>
      <c r="V80" s="810">
        <v>97.9125135707466</v>
      </c>
      <c r="W80" s="810">
        <v>27.7078564873262</v>
      </c>
      <c r="X80" s="810">
        <v>16.1770590756032</v>
      </c>
      <c r="Y80" s="810">
        <v>16.6293186949984</v>
      </c>
      <c r="Z80" s="810">
        <v>20.3633172090247</v>
      </c>
      <c r="AA80" s="810">
        <v>14.7664113015999</v>
      </c>
      <c r="AB80" s="810">
        <v>21.0199887010719</v>
      </c>
      <c r="AC80" s="810">
        <v>14.1587698353425</v>
      </c>
      <c r="AD80" s="810">
        <v>14.7103282280586</v>
      </c>
      <c r="AE80" s="810">
        <v>14.9536397426102</v>
      </c>
      <c r="AF80" s="810">
        <v>17.6223428619228</v>
      </c>
      <c r="AG80" s="810">
        <v>12.6408268576009</v>
      </c>
      <c r="AH80" s="810">
        <v>17.8294106097433</v>
      </c>
      <c r="AI80" s="810">
        <v>12.3336818243475</v>
      </c>
      <c r="AJ80" s="8"/>
      <c r="AK80" s="935" t="str">
        <f t="shared" si="11"/>
        <v>2Q24</v>
      </c>
      <c r="AL80" s="933">
        <f t="shared" si="12"/>
        <v>33.4569418764397</v>
      </c>
      <c r="AM80" s="810">
        <v>18.285283104649</v>
      </c>
      <c r="AN80" s="810">
        <v>15.531229783089</v>
      </c>
      <c r="AO80" s="810">
        <v>18.4342230802955</v>
      </c>
      <c r="AP80" s="810">
        <v>15.7918506010747</v>
      </c>
      <c r="AQ80" s="934">
        <v>13.3630724097093</v>
      </c>
      <c r="AR80" s="933">
        <f t="shared" si="13"/>
        <v>30.4345522967616</v>
      </c>
      <c r="AS80" s="810">
        <v>18.0372200865908</v>
      </c>
      <c r="AT80" s="810">
        <v>18.548904045644</v>
      </c>
      <c r="AU80" s="810">
        <v>17.3009847075473</v>
      </c>
      <c r="AV80" s="810">
        <v>15.0214839738927</v>
      </c>
      <c r="AW80" s="934">
        <v>12.1266380876433</v>
      </c>
      <c r="AX80" s="933">
        <f t="shared" si="14"/>
        <v>16.1770590756032</v>
      </c>
      <c r="AY80" s="810">
        <v>12.7963238557254</v>
      </c>
      <c r="AZ80" s="810">
        <v>14.3983930880516</v>
      </c>
      <c r="BA80" s="810">
        <v>11.0784790142357</v>
      </c>
      <c r="BB80" s="810">
        <v>11.7401868085495</v>
      </c>
      <c r="BC80" s="934">
        <v>10.1213801363892</v>
      </c>
      <c r="BD80" s="933">
        <f t="shared" si="20"/>
        <v>14.7103282280586</v>
      </c>
      <c r="BE80" s="810">
        <v>12.7838345671624</v>
      </c>
      <c r="BF80" s="810">
        <v>15.5062457521629</v>
      </c>
      <c r="BG80" s="810">
        <v>11.4931908863573</v>
      </c>
      <c r="BH80" s="810">
        <v>12.2156576237082</v>
      </c>
      <c r="BI80" s="934">
        <v>8.94832314922583</v>
      </c>
      <c r="BJ80" s="8"/>
      <c r="BK80" s="935" t="str">
        <f t="shared" si="15"/>
        <v>2Q24</v>
      </c>
      <c r="BL80" s="933">
        <f t="shared" si="16"/>
        <v>33.4569418764397</v>
      </c>
      <c r="BM80" s="810">
        <v>11.2645577634905</v>
      </c>
      <c r="BN80" s="810">
        <v>16.9769983363012</v>
      </c>
      <c r="BO80" s="810">
        <v>14.6397946127696</v>
      </c>
      <c r="BP80" s="810">
        <v>18.4969909334805</v>
      </c>
      <c r="BQ80" s="934">
        <v>17.0383556428308</v>
      </c>
      <c r="BR80" s="933">
        <f t="shared" si="17"/>
        <v>30.4345522967616</v>
      </c>
      <c r="BS80" s="810">
        <v>11.0988919387388</v>
      </c>
      <c r="BT80" s="810">
        <v>17.1678038497184</v>
      </c>
      <c r="BU80" s="810">
        <v>15.3184158666614</v>
      </c>
      <c r="BV80" s="810">
        <v>20.2337090247079</v>
      </c>
      <c r="BW80" s="934">
        <v>17.0249074363471</v>
      </c>
      <c r="BX80" s="933">
        <f t="shared" si="18"/>
        <v>16.1770590756032</v>
      </c>
      <c r="BY80" s="810">
        <v>6.55210704601697</v>
      </c>
      <c r="BZ80" s="810">
        <v>7.58057147914367</v>
      </c>
      <c r="CA80" s="810"/>
      <c r="CB80" s="810">
        <v>15.7600485469973</v>
      </c>
      <c r="CC80" s="934">
        <v>13.1807660592666</v>
      </c>
      <c r="CD80" s="933">
        <f t="shared" si="21"/>
        <v>14.7103282280586</v>
      </c>
      <c r="CE80" s="810">
        <v>6.6876218938895</v>
      </c>
      <c r="CF80" s="810">
        <v>13.0119608316293</v>
      </c>
      <c r="CG80" s="810">
        <v>12.4521138558247</v>
      </c>
      <c r="CH80" s="810">
        <v>14.1638045774507</v>
      </c>
      <c r="CI80" s="934">
        <v>11.7889497648763</v>
      </c>
    </row>
    <row r="81" ht="14.25" customHeight="1" spans="1:87" x14ac:dyDescent="0.25">
      <c r="A81" s="8"/>
      <c r="B81" s="8"/>
      <c r="C81" s="8" t="s">
        <v>1109</v>
      </c>
      <c r="D81" s="8"/>
      <c r="E81" s="753">
        <f>AVERAGE(BM8:BQ75)</f>
        <v>23.989111745649577</v>
      </c>
      <c r="F81" s="753">
        <f>AVERAGE(BS8:BW75)</f>
        <v>16.203546988432574</v>
      </c>
      <c r="G81" s="753">
        <f>AVERAGE(BY8:CC75)</f>
        <v>9.86611312349788</v>
      </c>
      <c r="H81" s="753">
        <f>AVERAGE(CE8:CI75)</f>
        <v>9.244146434411277</v>
      </c>
      <c r="I81" s="75">
        <v>2</v>
      </c>
      <c r="J81" s="7">
        <v>2024</v>
      </c>
      <c r="K81" s="340" t="s">
        <v>1143</v>
      </c>
      <c r="L81" s="933">
        <v>33.43458821802</v>
      </c>
      <c r="M81" s="810">
        <v>30.1010603953998</v>
      </c>
      <c r="N81" s="810">
        <v>42.8083954440491</v>
      </c>
      <c r="O81" s="810"/>
      <c r="P81" s="810">
        <v>145.095991739635</v>
      </c>
      <c r="Q81" s="810">
        <v>32.493449822752</v>
      </c>
      <c r="R81" s="810">
        <v>30.0316777720811</v>
      </c>
      <c r="S81" s="810">
        <v>26.509135738079</v>
      </c>
      <c r="T81" s="810">
        <v>34.0130440846788</v>
      </c>
      <c r="U81" s="810">
        <v>43.3389765530806</v>
      </c>
      <c r="V81" s="810">
        <v>102.920344958849</v>
      </c>
      <c r="W81" s="810">
        <v>28.2548258443014</v>
      </c>
      <c r="X81" s="810">
        <v>16.0289770773742</v>
      </c>
      <c r="Y81" s="810">
        <v>15.9932679079584</v>
      </c>
      <c r="Z81" s="810">
        <v>19.8932853259327</v>
      </c>
      <c r="AA81" s="810">
        <v>15.1845766471029</v>
      </c>
      <c r="AB81" s="810">
        <v>21.3286080907636</v>
      </c>
      <c r="AC81" s="810">
        <v>14.3686428303477</v>
      </c>
      <c r="AD81" s="810">
        <v>14.6091553706665</v>
      </c>
      <c r="AE81" s="810">
        <v>14.3493146209052</v>
      </c>
      <c r="AF81" s="810">
        <v>17.3684709514632</v>
      </c>
      <c r="AG81" s="810">
        <v>12.9769284926403</v>
      </c>
      <c r="AH81" s="810">
        <v>17.7469822123516</v>
      </c>
      <c r="AI81" s="810">
        <v>12.5019771949489</v>
      </c>
      <c r="AJ81" s="8"/>
      <c r="AK81" s="935" t="str">
        <f t="shared" si="11"/>
        <v>3Q24</v>
      </c>
      <c r="AL81" s="933">
        <f t="shared" si="12"/>
        <v>33.43458821802</v>
      </c>
      <c r="AM81" s="810">
        <v>18.285283104649</v>
      </c>
      <c r="AN81" s="810">
        <v>15.531229783089</v>
      </c>
      <c r="AO81" s="810">
        <v>18.4342230802955</v>
      </c>
      <c r="AP81" s="810">
        <v>15.7918506010747</v>
      </c>
      <c r="AQ81" s="934">
        <v>13.3630724097093</v>
      </c>
      <c r="AR81" s="933">
        <f t="shared" si="13"/>
        <v>30.0316777720811</v>
      </c>
      <c r="AS81" s="810">
        <v>18.0372200865908</v>
      </c>
      <c r="AT81" s="810">
        <v>18.548904045644</v>
      </c>
      <c r="AU81" s="810">
        <v>17.3009847075473</v>
      </c>
      <c r="AV81" s="810">
        <v>15.0214839738927</v>
      </c>
      <c r="AW81" s="934">
        <v>12.1266380876433</v>
      </c>
      <c r="AX81" s="933">
        <f t="shared" si="14"/>
        <v>16.0289770773742</v>
      </c>
      <c r="AY81" s="810">
        <v>12.7963238557254</v>
      </c>
      <c r="AZ81" s="810">
        <v>14.3983930880516</v>
      </c>
      <c r="BA81" s="810">
        <v>11.0784790142357</v>
      </c>
      <c r="BB81" s="810">
        <v>11.7401868085495</v>
      </c>
      <c r="BC81" s="934">
        <v>10.1213801363892</v>
      </c>
      <c r="BD81" s="933">
        <f t="shared" si="20"/>
        <v>14.6091553706665</v>
      </c>
      <c r="BE81" s="810">
        <v>12.7838345671624</v>
      </c>
      <c r="BF81" s="810">
        <v>15.5062457521629</v>
      </c>
      <c r="BG81" s="810">
        <v>11.4931908863573</v>
      </c>
      <c r="BH81" s="810">
        <v>12.2156576237082</v>
      </c>
      <c r="BI81" s="934">
        <v>8.94832314922583</v>
      </c>
      <c r="BJ81" s="8"/>
      <c r="BK81" s="935" t="str">
        <f t="shared" si="15"/>
        <v>3Q24</v>
      </c>
      <c r="BL81" s="933">
        <f t="shared" si="16"/>
        <v>33.43458821802</v>
      </c>
      <c r="BM81" s="810">
        <v>11.2645577634905</v>
      </c>
      <c r="BN81" s="810">
        <v>16.9769983363012</v>
      </c>
      <c r="BO81" s="810">
        <v>14.6397946127696</v>
      </c>
      <c r="BP81" s="810">
        <v>18.4969909334805</v>
      </c>
      <c r="BQ81" s="934">
        <v>17.0383556428308</v>
      </c>
      <c r="BR81" s="933">
        <f t="shared" si="17"/>
        <v>30.0316777720811</v>
      </c>
      <c r="BS81" s="810">
        <v>11.0988919387388</v>
      </c>
      <c r="BT81" s="810">
        <v>17.1678038497184</v>
      </c>
      <c r="BU81" s="810">
        <v>15.3184158666614</v>
      </c>
      <c r="BV81" s="810">
        <v>20.2337090247079</v>
      </c>
      <c r="BW81" s="934">
        <v>17.0249074363471</v>
      </c>
      <c r="BX81" s="933">
        <f t="shared" si="18"/>
        <v>16.0289770773742</v>
      </c>
      <c r="BY81" s="810">
        <v>6.55210704601697</v>
      </c>
      <c r="BZ81" s="810">
        <v>7.58057147914367</v>
      </c>
      <c r="CA81" s="810"/>
      <c r="CB81" s="810">
        <v>15.7600485469973</v>
      </c>
      <c r="CC81" s="934">
        <v>13.1807660592666</v>
      </c>
      <c r="CD81" s="933">
        <f t="shared" si="21"/>
        <v>14.6091553706665</v>
      </c>
      <c r="CE81" s="810">
        <v>6.6876218938895</v>
      </c>
      <c r="CF81" s="810">
        <v>13.0119608316293</v>
      </c>
      <c r="CG81" s="810">
        <v>12.4521138558247</v>
      </c>
      <c r="CH81" s="810">
        <v>14.1638045774507</v>
      </c>
      <c r="CI81" s="934">
        <v>11.7889497648763</v>
      </c>
    </row>
    <row r="82" ht="14.25" customHeight="1" spans="1:87" x14ac:dyDescent="0.25">
      <c r="A82" s="8"/>
      <c r="B82" s="8"/>
      <c r="C82" s="8" t="s">
        <v>1111</v>
      </c>
      <c r="D82" s="8"/>
      <c r="E82" s="753">
        <f t="shared" ref="E82:H84" si="24">AVERAGE(E86,E90)</f>
        <v>20.103998318150133</v>
      </c>
      <c r="F82" s="753">
        <f t="shared" si="24"/>
        <v>16.997209724820074</v>
      </c>
      <c r="G82" s="753">
        <f t="shared" si="24"/>
        <v>9.076301266902977</v>
      </c>
      <c r="H82" s="753" t="e">
        <f t="shared" si="24"/>
        <v>#DIV/0!</v>
      </c>
      <c r="I82" s="75">
        <v>3</v>
      </c>
      <c r="J82" s="7">
        <v>2024</v>
      </c>
      <c r="K82" s="340" t="s">
        <v>1144</v>
      </c>
      <c r="L82" s="933">
        <v>32.0178146242061</v>
      </c>
      <c r="M82" s="810">
        <v>27.9442173652698</v>
      </c>
      <c r="N82" s="810">
        <v>39.4919854838528</v>
      </c>
      <c r="O82" s="810"/>
      <c r="P82" s="810">
        <v>176.129837702871</v>
      </c>
      <c r="Q82" s="810">
        <v>29.1972395706202</v>
      </c>
      <c r="R82" s="810">
        <v>29.4639718804921</v>
      </c>
      <c r="S82" s="810">
        <v>24.9811446528902</v>
      </c>
      <c r="T82" s="810">
        <v>32.2345679012346</v>
      </c>
      <c r="U82" s="810">
        <v>49.0158082610913</v>
      </c>
      <c r="V82" s="810">
        <v>103.10353227771</v>
      </c>
      <c r="W82" s="810">
        <v>27.7723250201126</v>
      </c>
      <c r="X82" s="810">
        <v>15.4960868605486</v>
      </c>
      <c r="Y82" s="810">
        <v>15.1244820761325</v>
      </c>
      <c r="Z82" s="810">
        <v>18.5527879200469</v>
      </c>
      <c r="AA82" s="810">
        <v>16.3287031685159</v>
      </c>
      <c r="AB82" s="810">
        <v>20.8913103394208</v>
      </c>
      <c r="AC82" s="810">
        <v>13.0969973681226</v>
      </c>
      <c r="AD82" s="810">
        <v>14.3161534222315</v>
      </c>
      <c r="AE82" s="810">
        <v>12.9510075776224</v>
      </c>
      <c r="AF82" s="810">
        <v>16.5499453731782</v>
      </c>
      <c r="AG82" s="810">
        <v>14.172684338518</v>
      </c>
      <c r="AH82" s="810">
        <v>17.4711538383431</v>
      </c>
      <c r="AI82" s="810">
        <v>11.9649760978034</v>
      </c>
      <c r="AJ82" s="8"/>
      <c r="AK82" s="935" t="str">
        <f t="shared" si="11"/>
        <v>4Q24</v>
      </c>
      <c r="AL82" s="933">
        <f t="shared" si="12"/>
        <v>32.0178146242061</v>
      </c>
      <c r="AM82" s="810">
        <v>18.285283104649</v>
      </c>
      <c r="AN82" s="810">
        <v>15.531229783089</v>
      </c>
      <c r="AO82" s="810">
        <v>18.4342230802955</v>
      </c>
      <c r="AP82" s="810">
        <v>15.7918506010747</v>
      </c>
      <c r="AQ82" s="934">
        <v>13.3630724097093</v>
      </c>
      <c r="AR82" s="933">
        <f t="shared" si="13"/>
        <v>29.4639718804921</v>
      </c>
      <c r="AS82" s="810">
        <v>18.0372200865908</v>
      </c>
      <c r="AT82" s="810">
        <v>18.548904045644</v>
      </c>
      <c r="AU82" s="810">
        <v>17.3009847075473</v>
      </c>
      <c r="AV82" s="810">
        <v>15.0214839738927</v>
      </c>
      <c r="AW82" s="934">
        <v>12.1266380876433</v>
      </c>
      <c r="AX82" s="933">
        <f t="shared" si="14"/>
        <v>15.4960868605486</v>
      </c>
      <c r="AY82" s="810">
        <v>12.7963238557254</v>
      </c>
      <c r="AZ82" s="810">
        <v>14.3983930880516</v>
      </c>
      <c r="BA82" s="810">
        <v>11.0784790142357</v>
      </c>
      <c r="BB82" s="810">
        <v>11.7401868085495</v>
      </c>
      <c r="BC82" s="934">
        <v>10.1213801363892</v>
      </c>
      <c r="BD82" s="933">
        <f t="shared" si="20"/>
        <v>14.3161534222315</v>
      </c>
      <c r="BE82" s="810">
        <v>12.7838345671624</v>
      </c>
      <c r="BF82" s="810">
        <v>15.5062457521629</v>
      </c>
      <c r="BG82" s="810">
        <v>11.4931908863573</v>
      </c>
      <c r="BH82" s="810">
        <v>12.2156576237082</v>
      </c>
      <c r="BI82" s="934">
        <v>8.94832314922583</v>
      </c>
      <c r="BJ82" s="8"/>
      <c r="BK82" s="935" t="str">
        <f t="shared" si="15"/>
        <v>4Q24</v>
      </c>
      <c r="BL82" s="933">
        <f t="shared" si="16"/>
        <v>32.0178146242061</v>
      </c>
      <c r="BM82" s="810">
        <v>11.2645577634905</v>
      </c>
      <c r="BN82" s="810">
        <v>16.9769983363012</v>
      </c>
      <c r="BO82" s="810">
        <v>14.6397946127696</v>
      </c>
      <c r="BP82" s="810">
        <v>18.4969909334805</v>
      </c>
      <c r="BQ82" s="934">
        <v>17.0383556428308</v>
      </c>
      <c r="BR82" s="933">
        <f t="shared" si="17"/>
        <v>29.4639718804921</v>
      </c>
      <c r="BS82" s="810">
        <v>11.0988919387388</v>
      </c>
      <c r="BT82" s="810">
        <v>17.1678038497184</v>
      </c>
      <c r="BU82" s="810">
        <v>15.3184158666614</v>
      </c>
      <c r="BV82" s="810">
        <v>20.2337090247079</v>
      </c>
      <c r="BW82" s="934">
        <v>17.0249074363471</v>
      </c>
      <c r="BX82" s="933">
        <f t="shared" si="18"/>
        <v>15.4960868605486</v>
      </c>
      <c r="BY82" s="810">
        <v>6.55210704601697</v>
      </c>
      <c r="BZ82" s="810">
        <v>7.58057147914367</v>
      </c>
      <c r="CA82" s="810"/>
      <c r="CB82" s="810">
        <v>15.7600485469973</v>
      </c>
      <c r="CC82" s="934">
        <v>13.1807660592666</v>
      </c>
      <c r="CD82" s="933">
        <f t="shared" si="21"/>
        <v>14.3161534222315</v>
      </c>
      <c r="CE82" s="810">
        <v>6.6876218938895</v>
      </c>
      <c r="CF82" s="810">
        <v>13.0119608316293</v>
      </c>
      <c r="CG82" s="810">
        <v>12.4521138558247</v>
      </c>
      <c r="CH82" s="810">
        <v>14.1638045774507</v>
      </c>
      <c r="CI82" s="934">
        <v>11.7889497648763</v>
      </c>
    </row>
    <row r="83" ht="14.25" customHeight="1" spans="1:87" x14ac:dyDescent="0.25">
      <c r="A83" s="8"/>
      <c r="B83" s="8"/>
      <c r="C83" s="8" t="s">
        <v>1113</v>
      </c>
      <c r="D83" s="8"/>
      <c r="E83" s="753">
        <f t="shared" si="24"/>
        <v>16.107894681806094</v>
      </c>
      <c r="F83" s="753">
        <f t="shared" si="24"/>
        <v>15.30298364494367</v>
      </c>
      <c r="G83" s="753">
        <f t="shared" si="24"/>
        <v>9.975123228525447</v>
      </c>
      <c r="H83" s="753">
        <f t="shared" si="24"/>
        <v>9.37575884948865</v>
      </c>
      <c r="I83" s="75">
        <v>4</v>
      </c>
      <c r="J83" s="7">
        <v>2024</v>
      </c>
      <c r="K83" s="340" t="s">
        <v>1145</v>
      </c>
      <c r="L83" s="933">
        <v>37.4043286520772</v>
      </c>
      <c r="M83" s="810">
        <v>32.3667442502928</v>
      </c>
      <c r="N83" s="810">
        <v>45.1900359200475</v>
      </c>
      <c r="O83" s="810"/>
      <c r="P83" s="810">
        <v>173.634251617846</v>
      </c>
      <c r="Q83" s="810">
        <v>25.6478856304695</v>
      </c>
      <c r="R83" s="810">
        <v>34.4106404455951</v>
      </c>
      <c r="S83" s="810">
        <v>29.1237428905117</v>
      </c>
      <c r="T83" s="810">
        <v>35.9720459709315</v>
      </c>
      <c r="U83" s="810">
        <v>61.1580205498026</v>
      </c>
      <c r="V83" s="810">
        <v>122.188982287601</v>
      </c>
      <c r="W83" s="810">
        <v>24.7140195905442</v>
      </c>
      <c r="X83" s="810">
        <v>17.7272392485399</v>
      </c>
      <c r="Y83" s="810">
        <v>17.7746069301981</v>
      </c>
      <c r="Z83" s="810">
        <v>20.2608627776344</v>
      </c>
      <c r="AA83" s="810">
        <v>16.884995092064</v>
      </c>
      <c r="AB83" s="810">
        <v>21.674940570423</v>
      </c>
      <c r="AC83" s="810">
        <v>11.3139230926805</v>
      </c>
      <c r="AD83" s="810">
        <v>16.380656340515</v>
      </c>
      <c r="AE83" s="810">
        <v>15.1843335969632</v>
      </c>
      <c r="AF83" s="810">
        <v>18.1991822160636</v>
      </c>
      <c r="AG83" s="810">
        <v>18.7749718606049</v>
      </c>
      <c r="AH83" s="810">
        <v>18.2916494548679</v>
      </c>
      <c r="AI83" s="810">
        <v>10.4084316443035</v>
      </c>
      <c r="AJ83" s="8"/>
      <c r="AK83" s="935" t="str">
        <f t="shared" si="11"/>
        <v>1Q25</v>
      </c>
      <c r="AL83" s="933">
        <f t="shared" si="12"/>
        <v>37.4043286520772</v>
      </c>
      <c r="AM83" s="810">
        <v>18.285283104649</v>
      </c>
      <c r="AN83" s="810">
        <v>15.531229783089</v>
      </c>
      <c r="AO83" s="810">
        <v>18.4342230802955</v>
      </c>
      <c r="AP83" s="810">
        <v>15.7918506010747</v>
      </c>
      <c r="AQ83" s="934">
        <v>13.3630724097093</v>
      </c>
      <c r="AR83" s="933">
        <f t="shared" si="13"/>
        <v>34.4106404455951</v>
      </c>
      <c r="AS83" s="810">
        <v>18.0372200865908</v>
      </c>
      <c r="AT83" s="810">
        <v>18.548904045644</v>
      </c>
      <c r="AU83" s="810">
        <v>17.3009847075473</v>
      </c>
      <c r="AV83" s="810">
        <v>15.0214839738927</v>
      </c>
      <c r="AW83" s="934">
        <v>12.1266380876433</v>
      </c>
      <c r="AX83" s="933">
        <f t="shared" si="14"/>
        <v>17.7272392485399</v>
      </c>
      <c r="AY83" s="810">
        <v>12.7963238557254</v>
      </c>
      <c r="AZ83" s="810">
        <v>14.3983930880516</v>
      </c>
      <c r="BA83" s="810">
        <v>11.0784790142357</v>
      </c>
      <c r="BB83" s="810">
        <v>11.7401868085495</v>
      </c>
      <c r="BC83" s="934">
        <v>10.1213801363892</v>
      </c>
      <c r="BD83" s="933">
        <f t="shared" si="20"/>
        <v>16.380656340515</v>
      </c>
      <c r="BE83" s="810">
        <v>12.7838345671624</v>
      </c>
      <c r="BF83" s="810">
        <v>15.5062457521629</v>
      </c>
      <c r="BG83" s="810">
        <v>11.4931908863573</v>
      </c>
      <c r="BH83" s="810">
        <v>12.2156576237082</v>
      </c>
      <c r="BI83" s="934">
        <v>8.94832314922583</v>
      </c>
      <c r="BJ83" s="8"/>
      <c r="BK83" s="935" t="str">
        <f t="shared" si="15"/>
        <v>1Q25</v>
      </c>
      <c r="BL83" s="933">
        <f t="shared" si="16"/>
        <v>37.4043286520772</v>
      </c>
      <c r="BM83" s="810">
        <v>11.2645577634905</v>
      </c>
      <c r="BN83" s="810">
        <v>16.9769983363012</v>
      </c>
      <c r="BO83" s="810">
        <v>14.6397946127696</v>
      </c>
      <c r="BP83" s="810">
        <v>18.4969909334805</v>
      </c>
      <c r="BQ83" s="934">
        <v>17.0383556428308</v>
      </c>
      <c r="BR83" s="933">
        <f t="shared" si="17"/>
        <v>34.4106404455951</v>
      </c>
      <c r="BS83" s="810">
        <v>11.0988919387388</v>
      </c>
      <c r="BT83" s="810">
        <v>17.1678038497184</v>
      </c>
      <c r="BU83" s="810">
        <v>15.3184158666614</v>
      </c>
      <c r="BV83" s="810">
        <v>20.2337090247079</v>
      </c>
      <c r="BW83" s="934">
        <v>17.0249074363471</v>
      </c>
      <c r="BX83" s="933">
        <f t="shared" si="18"/>
        <v>17.7272392485399</v>
      </c>
      <c r="BY83" s="810">
        <v>6.55210704601697</v>
      </c>
      <c r="BZ83" s="810">
        <v>7.58057147914367</v>
      </c>
      <c r="CA83" s="810"/>
      <c r="CB83" s="810">
        <v>15.7600485469973</v>
      </c>
      <c r="CC83" s="934">
        <v>13.1807660592666</v>
      </c>
      <c r="CD83" s="933">
        <f t="shared" si="21"/>
        <v>16.380656340515</v>
      </c>
      <c r="CE83" s="810">
        <v>6.6876218938895</v>
      </c>
      <c r="CF83" s="810">
        <v>13.0119608316293</v>
      </c>
      <c r="CG83" s="810">
        <v>12.4521138558247</v>
      </c>
      <c r="CH83" s="810">
        <v>14.1638045774507</v>
      </c>
      <c r="CI83" s="934">
        <v>11.7889497648763</v>
      </c>
    </row>
    <row r="84" ht="14.25" customHeight="1" spans="1:87" x14ac:dyDescent="0.25">
      <c r="A84" s="8"/>
      <c r="B84" s="8"/>
      <c r="C84" s="8" t="s">
        <v>1115</v>
      </c>
      <c r="D84" s="8"/>
      <c r="E84" s="753">
        <f t="shared" si="24"/>
        <v>30.136895572954842</v>
      </c>
      <c r="F84" s="753">
        <f t="shared" si="24"/>
        <v>16.117007849523496</v>
      </c>
      <c r="G84" s="753">
        <f t="shared" si="24"/>
        <v>10.637190256202512</v>
      </c>
      <c r="H84" s="753">
        <f t="shared" si="24"/>
        <v>9.995452299174545</v>
      </c>
      <c r="I84" s="75">
        <v>1</v>
      </c>
      <c r="J84" s="7">
        <v>2025</v>
      </c>
      <c r="K84" s="340" t="s">
        <v>1146</v>
      </c>
      <c r="L84" s="933">
        <v>37.3933041406477</v>
      </c>
      <c r="M84" s="810">
        <v>32.5767123061442</v>
      </c>
      <c r="N84" s="810">
        <v>42.5795664601083</v>
      </c>
      <c r="O84" s="810"/>
      <c r="P84" s="810">
        <v>184.109872329426</v>
      </c>
      <c r="Q84" s="810">
        <v>30.8613916621378</v>
      </c>
      <c r="R84" s="810">
        <v>33.9253466751695</v>
      </c>
      <c r="S84" s="810">
        <v>28.3241319828795</v>
      </c>
      <c r="T84" s="810">
        <v>33.8153734960881</v>
      </c>
      <c r="U84" s="810">
        <v>79.5957730974339</v>
      </c>
      <c r="V84" s="810">
        <v>94.5291912639447</v>
      </c>
      <c r="W84" s="810">
        <v>27.7500625595512</v>
      </c>
      <c r="X84" s="810">
        <v>17.761730067478</v>
      </c>
      <c r="Y84" s="810">
        <v>17.1408878619733</v>
      </c>
      <c r="Z84" s="810">
        <v>19.1070535956302</v>
      </c>
      <c r="AA84" s="810">
        <v>14.5197695202125</v>
      </c>
      <c r="AB84" s="810">
        <v>21.7875125539629</v>
      </c>
      <c r="AC84" s="810">
        <v>12.9938736884156</v>
      </c>
      <c r="AD84" s="810">
        <v>16.4207494651843</v>
      </c>
      <c r="AE84" s="810">
        <v>14.7629086041285</v>
      </c>
      <c r="AF84" s="810">
        <v>17.1715928149063</v>
      </c>
      <c r="AG84" s="810">
        <v>15.6130451109245</v>
      </c>
      <c r="AH84" s="810">
        <v>18.5502029756986</v>
      </c>
      <c r="AI84" s="810">
        <v>11.7957566393302</v>
      </c>
      <c r="AJ84" s="8"/>
      <c r="AK84" s="935" t="str">
        <f t="shared" si="11"/>
        <v>2Q25</v>
      </c>
      <c r="AL84" s="933">
        <f t="shared" si="12"/>
        <v>37.3933041406477</v>
      </c>
      <c r="AM84" s="810">
        <v>18.285283104649</v>
      </c>
      <c r="AN84" s="810">
        <v>15.531229783089</v>
      </c>
      <c r="AO84" s="810">
        <v>18.4342230802955</v>
      </c>
      <c r="AP84" s="810">
        <v>15.7918506010747</v>
      </c>
      <c r="AQ84" s="934">
        <v>13.3630724097093</v>
      </c>
      <c r="AR84" s="933">
        <f t="shared" si="13"/>
        <v>33.9253466751695</v>
      </c>
      <c r="AS84" s="810">
        <v>18.0372200865908</v>
      </c>
      <c r="AT84" s="810">
        <v>18.548904045644</v>
      </c>
      <c r="AU84" s="810">
        <v>17.3009847075473</v>
      </c>
      <c r="AV84" s="810">
        <v>15.0214839738927</v>
      </c>
      <c r="AW84" s="934">
        <v>12.1266380876433</v>
      </c>
      <c r="AX84" s="933">
        <f t="shared" si="14"/>
        <v>17.761730067478</v>
      </c>
      <c r="AY84" s="810">
        <v>12.7963238557254</v>
      </c>
      <c r="AZ84" s="810">
        <v>14.3983930880516</v>
      </c>
      <c r="BA84" s="810">
        <v>11.0784790142357</v>
      </c>
      <c r="BB84" s="810">
        <v>11.7401868085495</v>
      </c>
      <c r="BC84" s="934">
        <v>10.1213801363892</v>
      </c>
      <c r="BD84" s="933">
        <f t="shared" si="20"/>
        <v>16.4207494651843</v>
      </c>
      <c r="BE84" s="810">
        <v>12.7838345671624</v>
      </c>
      <c r="BF84" s="810">
        <v>15.5062457521629</v>
      </c>
      <c r="BG84" s="810">
        <v>11.4931908863573</v>
      </c>
      <c r="BH84" s="810">
        <v>12.2156576237082</v>
      </c>
      <c r="BI84" s="934">
        <v>8.94832314922583</v>
      </c>
      <c r="BJ84" s="8"/>
      <c r="BK84" s="935" t="str">
        <f t="shared" si="15"/>
        <v>2Q25</v>
      </c>
      <c r="BL84" s="933">
        <f t="shared" si="16"/>
        <v>37.3933041406477</v>
      </c>
      <c r="BM84" s="810">
        <v>11.2645577634905</v>
      </c>
      <c r="BN84" s="810">
        <v>16.9769983363012</v>
      </c>
      <c r="BO84" s="810">
        <v>14.6397946127696</v>
      </c>
      <c r="BP84" s="810">
        <v>18.4969909334805</v>
      </c>
      <c r="BQ84" s="934">
        <v>17.0383556428308</v>
      </c>
      <c r="BR84" s="933">
        <f t="shared" si="17"/>
        <v>33.9253466751695</v>
      </c>
      <c r="BS84" s="810">
        <v>11.0988919387388</v>
      </c>
      <c r="BT84" s="810">
        <v>17.1678038497184</v>
      </c>
      <c r="BU84" s="810">
        <v>15.3184158666614</v>
      </c>
      <c r="BV84" s="810">
        <v>20.2337090247079</v>
      </c>
      <c r="BW84" s="934">
        <v>17.0249074363471</v>
      </c>
      <c r="BX84" s="933">
        <f t="shared" si="18"/>
        <v>17.761730067478</v>
      </c>
      <c r="BY84" s="810">
        <v>6.55210704601697</v>
      </c>
      <c r="BZ84" s="810">
        <v>7.58057147914367</v>
      </c>
      <c r="CA84" s="810"/>
      <c r="CB84" s="810">
        <v>15.7600485469973</v>
      </c>
      <c r="CC84" s="934">
        <v>13.1807660592666</v>
      </c>
      <c r="CD84" s="933">
        <f t="shared" si="21"/>
        <v>16.4207494651843</v>
      </c>
      <c r="CE84" s="810">
        <v>6.6876218938895</v>
      </c>
      <c r="CF84" s="810">
        <v>13.0119608316293</v>
      </c>
      <c r="CG84" s="810">
        <v>12.4521138558247</v>
      </c>
      <c r="CH84" s="810">
        <v>14.1638045774507</v>
      </c>
      <c r="CI84" s="934">
        <v>11.7889497648763</v>
      </c>
    </row>
    <row r="85" ht="14.25" customHeight="1" spans="1:87" x14ac:dyDescent="0.25">
      <c r="A85" s="8"/>
      <c r="B85" s="8"/>
      <c r="C85" s="8" t="s">
        <v>1117</v>
      </c>
      <c r="D85" s="8"/>
      <c r="E85" s="753">
        <f>AVERAGE(BM8:BQ35)</f>
        <v>19.419899684661807</v>
      </c>
      <c r="F85" s="753">
        <f>AVERAGE(BS8:BW35)</f>
        <v>16.743680586508308</v>
      </c>
      <c r="G85" s="753">
        <f>AVERAGE(BY8:CC35)</f>
        <v>9.540420082667024</v>
      </c>
      <c r="H85" s="753">
        <f>AVERAGE(CE8:CI35)</f>
        <v>9.363814673822663</v>
      </c>
      <c r="I85" s="75">
        <v>2</v>
      </c>
      <c r="J85" s="7">
        <v>2025</v>
      </c>
      <c r="K85" s="340" t="s">
        <v>1147</v>
      </c>
      <c r="L85" s="933">
        <v>33.9682319763211</v>
      </c>
      <c r="M85" s="810">
        <v>30.8651983462527</v>
      </c>
      <c r="N85" s="810">
        <v>39.6516787230626</v>
      </c>
      <c r="O85" s="810">
        <v>4508.58354421722</v>
      </c>
      <c r="P85" s="810">
        <v>168.667759356901</v>
      </c>
      <c r="Q85" s="810">
        <v>31.4000526534343</v>
      </c>
      <c r="R85" s="810">
        <v>31.1255971913226</v>
      </c>
      <c r="S85" s="810">
        <v>26.5456731066111</v>
      </c>
      <c r="T85" s="810">
        <v>31.2702202041529</v>
      </c>
      <c r="U85" s="810">
        <v>70.7897164317299</v>
      </c>
      <c r="V85" s="810">
        <v>76.6943935085528</v>
      </c>
      <c r="W85" s="810">
        <v>26.817405940876</v>
      </c>
      <c r="X85" s="810">
        <v>16.294965840665</v>
      </c>
      <c r="Y85" s="810">
        <v>15.9515263588164</v>
      </c>
      <c r="Z85" s="810">
        <v>17.7161078398985</v>
      </c>
      <c r="AA85" s="810">
        <v>14.4864478354422</v>
      </c>
      <c r="AB85" s="810">
        <v>17.6457610867247</v>
      </c>
      <c r="AC85" s="810">
        <v>12.8634120075851</v>
      </c>
      <c r="AD85" s="810">
        <v>15.1810230164985</v>
      </c>
      <c r="AE85" s="810">
        <v>14.0392899553645</v>
      </c>
      <c r="AF85" s="810">
        <v>16.0895485389225</v>
      </c>
      <c r="AG85" s="810">
        <v>14.665426190138</v>
      </c>
      <c r="AH85" s="810">
        <v>15.5059489998869</v>
      </c>
      <c r="AI85" s="810">
        <v>11.5666519156744</v>
      </c>
      <c r="AJ85" s="8"/>
      <c r="AK85" s="935"/>
      <c r="AL85" s="933"/>
      <c r="AM85" s="810"/>
      <c r="AN85" s="810"/>
      <c r="AO85" s="810"/>
      <c r="AP85" s="810"/>
      <c r="AQ85" s="934"/>
      <c r="AR85" s="933"/>
      <c r="AS85" s="810"/>
      <c r="AT85" s="810"/>
      <c r="AU85" s="810"/>
      <c r="AV85" s="810"/>
      <c r="AW85" s="934"/>
      <c r="AX85" s="933"/>
      <c r="AY85" s="810"/>
      <c r="AZ85" s="810"/>
      <c r="BA85" s="810"/>
      <c r="BB85" s="810"/>
      <c r="BC85" s="934"/>
      <c r="BD85" s="933"/>
      <c r="BE85" s="810"/>
      <c r="BF85" s="810"/>
      <c r="BG85" s="810"/>
      <c r="BH85" s="810"/>
      <c r="BI85" s="934"/>
      <c r="BJ85" s="8"/>
      <c r="BK85" s="935"/>
      <c r="BL85" s="933"/>
      <c r="BM85" s="810"/>
      <c r="BN85" s="810"/>
      <c r="BO85" s="810"/>
      <c r="BP85" s="810"/>
      <c r="BQ85" s="934"/>
      <c r="BR85" s="933"/>
      <c r="BS85" s="810"/>
      <c r="BT85" s="810"/>
      <c r="BU85" s="810"/>
      <c r="BV85" s="810"/>
      <c r="BW85" s="934"/>
      <c r="BX85" s="933"/>
      <c r="BY85" s="810"/>
      <c r="BZ85" s="810"/>
      <c r="CA85" s="810"/>
      <c r="CB85" s="810"/>
      <c r="CC85" s="934"/>
      <c r="CD85" s="933"/>
      <c r="CE85" s="810"/>
      <c r="CF85" s="810"/>
      <c r="CG85" s="810"/>
      <c r="CH85" s="810"/>
      <c r="CI85" s="934"/>
    </row>
    <row r="86" ht="14.25" customHeight="1" spans="1:87" x14ac:dyDescent="0.25">
      <c r="A86" s="8"/>
      <c r="B86" s="8"/>
      <c r="C86" s="8" t="s">
        <v>1119</v>
      </c>
      <c r="D86" s="8"/>
      <c r="E86" s="753">
        <f>AVERAGE(BM8:BQ19)</f>
        <v>25.08153198498405</v>
      </c>
      <c r="F86" s="753">
        <f>AVERAGE(BS8:BW19)</f>
        <v>19.390935509155117</v>
      </c>
      <c r="G86" s="753">
        <f>AVERAGE(BY8:CC19)</f>
        <v>9.982036835170295</v>
      </c>
      <c r="H86" s="753" t="e">
        <f>AVERAGE(CE8:CI19)</f>
        <v>#DIV/0!</v>
      </c>
      <c r="I86" s="75" t="s">
        <v>640</v>
      </c>
      <c r="J86" s="7">
        <v>2025</v>
      </c>
      <c r="K86" s="340" t="s">
        <v>1148</v>
      </c>
      <c r="L86" s="933">
        <v>31.6268777572599</v>
      </c>
      <c r="M86" s="810">
        <v>30.4841754509913</v>
      </c>
      <c r="N86" s="810">
        <v>38.7818740739103</v>
      </c>
      <c r="O86" s="810"/>
      <c r="P86" s="810">
        <v>237.684409271488</v>
      </c>
      <c r="Q86" s="810">
        <v>31.3296418656369</v>
      </c>
      <c r="R86" s="810">
        <v>28.9734987906194</v>
      </c>
      <c r="S86" s="810">
        <v>26.2811004784689</v>
      </c>
      <c r="T86" s="810">
        <v>30.982332155477</v>
      </c>
      <c r="U86" s="810">
        <v>55.0742086144266</v>
      </c>
      <c r="V86" s="810">
        <v>72.3872875092387</v>
      </c>
      <c r="W86" s="810">
        <v>29.2565505326807</v>
      </c>
      <c r="X86" s="810">
        <v>14.8901830078006</v>
      </c>
      <c r="Y86" s="810">
        <v>15.2723434201818</v>
      </c>
      <c r="Z86" s="810">
        <v>17.4720472331906</v>
      </c>
      <c r="AA86" s="810">
        <v>14.1601877112117</v>
      </c>
      <c r="AB86" s="810">
        <v>17.4616583944748</v>
      </c>
      <c r="AC86" s="810">
        <v>12.5887442832526</v>
      </c>
      <c r="AD86" s="810">
        <v>14.1093833977766</v>
      </c>
      <c r="AE86" s="810">
        <v>13.7628913208465</v>
      </c>
      <c r="AF86" s="810">
        <v>16.0484206889366</v>
      </c>
      <c r="AG86" s="810">
        <v>13.4076659683167</v>
      </c>
      <c r="AH86" s="810">
        <v>15.579296170808</v>
      </c>
      <c r="AI86" s="810">
        <v>11.746846045025</v>
      </c>
      <c r="AJ86" s="8"/>
      <c r="AK86" s="935" t="str">
        <f>$K87</f>
        <v>Current</v>
      </c>
      <c r="AL86" s="933">
        <f>L87</f>
        <v>32.9528103108735</v>
      </c>
      <c r="AM86" s="810">
        <v>18.285283104649</v>
      </c>
      <c r="AN86" s="810">
        <v>15.531229783089</v>
      </c>
      <c r="AO86" s="810">
        <v>18.4342230802955</v>
      </c>
      <c r="AP86" s="810">
        <v>15.7918506010747</v>
      </c>
      <c r="AQ86" s="934">
        <v>13.3630724097093</v>
      </c>
      <c r="AR86" s="933">
        <f>R87</f>
        <v>29.9280446457396</v>
      </c>
      <c r="AS86" s="810">
        <v>18.0372200865908</v>
      </c>
      <c r="AT86" s="810">
        <v>18.548904045644</v>
      </c>
      <c r="AU86" s="810">
        <v>17.3009847075473</v>
      </c>
      <c r="AV86" s="810">
        <v>15.0214839738927</v>
      </c>
      <c r="AW86" s="934">
        <v>12.1266380876433</v>
      </c>
      <c r="AX86" s="933">
        <f>X87</f>
        <v>15.4046519962029</v>
      </c>
      <c r="AY86" s="810">
        <v>12.7963238557254</v>
      </c>
      <c r="AZ86" s="810">
        <v>14.3983930880516</v>
      </c>
      <c r="BA86" s="810">
        <v>11.0784790142357</v>
      </c>
      <c r="BB86" s="810">
        <v>11.7401868085495</v>
      </c>
      <c r="BC86" s="934">
        <v>10.1213801363892</v>
      </c>
      <c r="BD86" s="933">
        <f>AD87</f>
        <v>14.5160559134403</v>
      </c>
      <c r="BE86" s="810">
        <v>12.7838345671624</v>
      </c>
      <c r="BF86" s="810">
        <v>15.5062457521629</v>
      </c>
      <c r="BG86" s="810">
        <v>11.4931908863573</v>
      </c>
      <c r="BH86" s="810">
        <v>12.2156576237082</v>
      </c>
      <c r="BI86" s="934">
        <v>8.94832314922583</v>
      </c>
      <c r="BJ86" s="8"/>
      <c r="BK86" s="935" t="str">
        <f>$K87</f>
        <v>Current</v>
      </c>
      <c r="BL86" s="933">
        <f>AL86</f>
        <v>32.9528103108735</v>
      </c>
      <c r="BM86" s="810">
        <v>11.2645577634905</v>
      </c>
      <c r="BN86" s="810">
        <v>16.9769983363012</v>
      </c>
      <c r="BO86" s="810">
        <v>14.6397946127696</v>
      </c>
      <c r="BP86" s="810">
        <v>18.4969909334805</v>
      </c>
      <c r="BQ86" s="934">
        <v>17.0383556428308</v>
      </c>
      <c r="BR86" s="933">
        <f>AR86</f>
        <v>29.9280446457396</v>
      </c>
      <c r="BS86" s="810">
        <v>11.0988919387388</v>
      </c>
      <c r="BT86" s="810">
        <v>17.1678038497184</v>
      </c>
      <c r="BU86" s="810">
        <v>15.3184158666614</v>
      </c>
      <c r="BV86" s="810">
        <v>20.2337090247079</v>
      </c>
      <c r="BW86" s="934">
        <v>17.0249074363471</v>
      </c>
      <c r="BX86" s="933">
        <f>AX86</f>
        <v>15.4046519962029</v>
      </c>
      <c r="BY86" s="810">
        <v>6.55210704601697</v>
      </c>
      <c r="BZ86" s="810">
        <v>7.58057147914367</v>
      </c>
      <c r="CA86" s="810"/>
      <c r="CB86" s="810">
        <v>15.7600485469973</v>
      </c>
      <c r="CC86" s="934">
        <v>13.1807660592666</v>
      </c>
      <c r="CD86" s="933">
        <f>BD86</f>
        <v>14.5160559134403</v>
      </c>
      <c r="CE86" s="810">
        <v>6.6876218938895</v>
      </c>
      <c r="CF86" s="810">
        <v>13.0119608316293</v>
      </c>
      <c r="CG86" s="810">
        <v>12.4521138558247</v>
      </c>
      <c r="CH86" s="810">
        <v>14.1638045774507</v>
      </c>
      <c r="CI86" s="934">
        <v>11.7889497648763</v>
      </c>
    </row>
    <row r="87" ht="14.25" customHeight="1" spans="1:87" x14ac:dyDescent="0.25">
      <c r="A87" s="8"/>
      <c r="B87" s="8"/>
      <c r="C87" s="8" t="s">
        <v>1121</v>
      </c>
      <c r="D87" s="8"/>
      <c r="E87" s="753">
        <f>AVERAGE(BM16:BQ27)</f>
        <v>16.855510192182262</v>
      </c>
      <c r="F87" s="753">
        <f>AVERAGE(BS16:BW27)</f>
        <v>16.195028889155573</v>
      </c>
      <c r="G87" s="753">
        <f>AVERAGE(BY16:CC27)</f>
        <v>10.485944434620379</v>
      </c>
      <c r="H87" s="753">
        <f>AVERAGE(CE16:CI27)</f>
        <v>10.278506200183173</v>
      </c>
      <c r="K87" s="340" t="s">
        <v>640</v>
      </c>
      <c r="L87" s="933">
        <v>32.9528103108735</v>
      </c>
      <c r="M87" s="810">
        <v>30.1561240945904</v>
      </c>
      <c r="N87" s="810">
        <v>37.7070570803017</v>
      </c>
      <c r="O87" s="810"/>
      <c r="P87" s="810">
        <v>257.827150635636</v>
      </c>
      <c r="Q87" s="810">
        <v>35.6139534790272</v>
      </c>
      <c r="R87" s="810">
        <v>29.9280446457396</v>
      </c>
      <c r="S87" s="810">
        <v>27.6290436511656</v>
      </c>
      <c r="T87" s="810">
        <v>30.0458749215257</v>
      </c>
      <c r="U87" s="810">
        <v>53.4973929541704</v>
      </c>
      <c r="V87" s="810">
        <v>76.2166673358907</v>
      </c>
      <c r="W87" s="810">
        <v>32.6467123730127</v>
      </c>
      <c r="X87" s="810">
        <v>15.4046519962029</v>
      </c>
      <c r="Y87" s="810">
        <v>15.1382528529074</v>
      </c>
      <c r="Z87" s="810">
        <v>17.0822854177212</v>
      </c>
      <c r="AA87" s="810">
        <v>14.0656030395979</v>
      </c>
      <c r="AB87" s="810">
        <v>18.8118480534481</v>
      </c>
      <c r="AC87" s="810">
        <v>14.0749787216008</v>
      </c>
      <c r="AD87" s="810">
        <v>14.5160559134403</v>
      </c>
      <c r="AE87" s="810">
        <v>13.9101804376811</v>
      </c>
      <c r="AF87" s="810">
        <v>15.6178850706967</v>
      </c>
      <c r="AG87" s="810">
        <v>13.1872101161523</v>
      </c>
      <c r="AH87" s="810">
        <v>16.5707013632094</v>
      </c>
      <c r="AI87" s="810">
        <v>13.0613783562351</v>
      </c>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 x14ac:dyDescent="0.25">
      <c r="A88" s="8"/>
      <c r="B88" s="8"/>
      <c r="C88" s="8" t="s">
        <v>1123</v>
      </c>
      <c r="D88" s="8"/>
      <c r="E88" s="753">
        <f>AVERAGE(BM24:BQ35)</f>
        <v>14.892234450874573</v>
      </c>
      <c r="F88" s="753">
        <f>AVERAGE(BS24:BW35)</f>
        <v>14.540423109972403</v>
      </c>
      <c r="G88" s="753">
        <f>AVERAGE(BY24:CC35)</f>
        <v>8.87013984911078</v>
      </c>
      <c r="H88" s="753">
        <f>AVERAGE(CE24:CI35)</f>
        <v>8.944867809388638</v>
      </c>
    </row>
    <row r="89" ht="14.25" customHeight="1" spans="1:87" x14ac:dyDescent="0.25">
      <c r="A89" s="8"/>
      <c r="B89" s="8"/>
      <c r="C89" s="8" t="s">
        <v>1125</v>
      </c>
      <c r="D89" s="8"/>
      <c r="E89" s="753">
        <f>AVERAGE(BM36:BQ75)</f>
        <v>27.20363279358067</v>
      </c>
      <c r="F89" s="753">
        <f>AVERAGE(BS36:BW75)</f>
        <v>15.825453469779573</v>
      </c>
      <c r="G89" s="753">
        <f>AVERAGE(BY36:CC75)</f>
        <v>10.073825521986931</v>
      </c>
      <c r="H89" s="753">
        <f>AVERAGE(CE36:CI75)</f>
        <v>9.199869185829074</v>
      </c>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1127</v>
      </c>
      <c r="D90" s="8"/>
      <c r="E90" s="753">
        <f>AVERAGE(BM36:BQ51)</f>
        <v>15.126464651316216</v>
      </c>
      <c r="F90" s="753">
        <f>AVERAGE(BS36:BW51)</f>
        <v>14.60348394048503</v>
      </c>
      <c r="G90" s="753">
        <f>AVERAGE(BY36:CC51)</f>
        <v>8.170565698635658</v>
      </c>
      <c r="H90" s="753">
        <f>AVERAGE(CE36:CI51)</f>
        <v>7.715030716735617</v>
      </c>
      <c r="K90" s="340"/>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1129</v>
      </c>
      <c r="D91" s="8"/>
      <c r="E91" s="753">
        <f>AVERAGE(BM48:BQ63)</f>
        <v>15.360279171429923</v>
      </c>
      <c r="F91" s="753">
        <f>AVERAGE(BS48:BW63)</f>
        <v>14.410938400731766</v>
      </c>
      <c r="G91" s="753">
        <f>AVERAGE(BY48:CC63)</f>
        <v>9.464302022430516</v>
      </c>
      <c r="H91" s="753">
        <f>AVERAGE(CE48:CI63)</f>
        <v>8.473011498794126</v>
      </c>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1131</v>
      </c>
      <c r="D92" s="8"/>
      <c r="E92" s="753">
        <f>AVERAGE(BM60:BQ75)</f>
        <v>45.38155669503511</v>
      </c>
      <c r="F92" s="753">
        <f>AVERAGE(BS60:BW75)</f>
        <v>17.69359258907459</v>
      </c>
      <c r="G92" s="753">
        <f>AVERAGE(BY60:CC75)</f>
        <v>12.404240663294244</v>
      </c>
      <c r="H92" s="753">
        <f>AVERAGE(CE60:CI75)</f>
        <v>11.046036788960452</v>
      </c>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57" t="s">
        <v>3</v>
      </c>
      <c r="B94" s="8"/>
      <c r="C94" s="8"/>
      <c r="D94" s="8"/>
      <c r="E94" s="8"/>
      <c r="F94" s="8"/>
      <c r="G94" s="8"/>
      <c r="H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75"/>
      <c r="J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920"/>
      <c r="M96" s="920"/>
      <c r="N96" s="920"/>
      <c r="O96" s="920"/>
      <c r="P96" s="920"/>
      <c r="Q96" s="920"/>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920"/>
      <c r="M97" s="920"/>
      <c r="N97" s="920"/>
      <c r="O97" s="920"/>
      <c r="P97" s="920"/>
      <c r="Q97" s="920"/>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920"/>
      <c r="M98" s="920"/>
      <c r="N98" s="920"/>
      <c r="O98" s="920"/>
      <c r="P98" s="920"/>
      <c r="Q98" s="920"/>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920"/>
      <c r="M99" s="920"/>
      <c r="N99" s="920"/>
      <c r="O99" s="920"/>
      <c r="P99" s="920"/>
      <c r="Q99" s="920"/>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920"/>
      <c r="M100" s="920"/>
      <c r="N100" s="920"/>
      <c r="O100" s="920"/>
      <c r="P100" s="920"/>
      <c r="Q100" s="920"/>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920"/>
      <c r="M101" s="920"/>
      <c r="N101" s="920"/>
      <c r="O101" s="920"/>
      <c r="P101" s="920"/>
      <c r="Q101" s="920"/>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920"/>
      <c r="M102" s="920"/>
      <c r="N102" s="920"/>
      <c r="O102" s="920"/>
      <c r="P102" s="920"/>
      <c r="Q102" s="920"/>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920"/>
      <c r="M103" s="920"/>
      <c r="N103" s="920"/>
      <c r="O103" s="920"/>
      <c r="P103" s="920"/>
      <c r="Q103" s="920"/>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920"/>
      <c r="M104" s="920"/>
      <c r="N104" s="920"/>
      <c r="O104" s="920"/>
      <c r="P104" s="920"/>
      <c r="Q104" s="920"/>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920"/>
      <c r="M105" s="920"/>
      <c r="N105" s="920"/>
      <c r="O105" s="920"/>
      <c r="P105" s="920"/>
      <c r="Q105" s="920"/>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920"/>
      <c r="M106" s="920"/>
      <c r="N106" s="920"/>
      <c r="O106" s="920"/>
      <c r="P106" s="920"/>
      <c r="Q106" s="920"/>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920"/>
      <c r="M107" s="920"/>
      <c r="N107" s="920"/>
      <c r="O107" s="920"/>
      <c r="P107" s="920"/>
      <c r="Q107" s="920"/>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920"/>
      <c r="M108" s="920"/>
      <c r="N108" s="920"/>
      <c r="O108" s="920"/>
      <c r="P108" s="920"/>
      <c r="Q108" s="920"/>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920"/>
      <c r="M109" s="920"/>
      <c r="N109" s="920"/>
      <c r="O109" s="920"/>
      <c r="P109" s="920"/>
      <c r="Q109" s="920"/>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920"/>
      <c r="M110" s="920"/>
      <c r="N110" s="920"/>
      <c r="O110" s="920"/>
      <c r="P110" s="920"/>
      <c r="Q110" s="920"/>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920"/>
      <c r="M111" s="920"/>
      <c r="N111" s="920"/>
      <c r="O111" s="920"/>
      <c r="P111" s="920"/>
      <c r="Q111" s="920"/>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920"/>
      <c r="M112" s="920"/>
      <c r="N112" s="920"/>
      <c r="O112" s="920"/>
      <c r="P112" s="920"/>
      <c r="Q112" s="920"/>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920"/>
      <c r="M113" s="920"/>
      <c r="N113" s="920"/>
      <c r="O113" s="920"/>
      <c r="P113" s="920"/>
      <c r="Q113" s="920"/>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920"/>
      <c r="M114" s="920"/>
      <c r="N114" s="920"/>
      <c r="O114" s="920"/>
      <c r="P114" s="920"/>
      <c r="Q114" s="920"/>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920"/>
      <c r="M115" s="920"/>
      <c r="N115" s="920"/>
      <c r="O115" s="920"/>
      <c r="P115" s="920"/>
      <c r="Q115" s="920"/>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920"/>
      <c r="M116" s="920"/>
      <c r="N116" s="920"/>
      <c r="O116" s="920"/>
      <c r="P116" s="920"/>
      <c r="Q116" s="920"/>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920"/>
      <c r="M117" s="920"/>
      <c r="N117" s="920"/>
      <c r="O117" s="920"/>
      <c r="P117" s="920"/>
      <c r="Q117" s="920"/>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920"/>
      <c r="M118" s="920"/>
      <c r="N118" s="920"/>
      <c r="O118" s="920"/>
      <c r="P118" s="920"/>
      <c r="Q118" s="920"/>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920"/>
      <c r="M119" s="920"/>
      <c r="N119" s="920"/>
      <c r="O119" s="920"/>
      <c r="P119" s="920"/>
      <c r="Q119" s="920"/>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920"/>
      <c r="M120" s="920"/>
      <c r="N120" s="920"/>
      <c r="O120" s="920"/>
      <c r="P120" s="920"/>
      <c r="Q120" s="920"/>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920"/>
      <c r="M121" s="920"/>
      <c r="N121" s="920"/>
      <c r="O121" s="920"/>
      <c r="P121" s="920"/>
      <c r="Q121" s="920"/>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920"/>
      <c r="M122" s="920"/>
      <c r="N122" s="920"/>
      <c r="O122" s="920"/>
      <c r="P122" s="920"/>
      <c r="Q122" s="920"/>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920"/>
      <c r="M123" s="920"/>
      <c r="N123" s="920"/>
      <c r="O123" s="920"/>
      <c r="P123" s="920"/>
      <c r="Q123" s="920"/>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920"/>
      <c r="M124" s="920"/>
      <c r="N124" s="920"/>
      <c r="O124" s="920"/>
      <c r="P124" s="920"/>
      <c r="Q124" s="920"/>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920"/>
      <c r="M125" s="920"/>
      <c r="N125" s="920"/>
      <c r="O125" s="920"/>
      <c r="P125" s="920"/>
      <c r="Q125" s="920"/>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920"/>
      <c r="M126" s="920"/>
      <c r="N126" s="920"/>
      <c r="O126" s="920"/>
      <c r="P126" s="920"/>
      <c r="Q126" s="920"/>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920"/>
      <c r="M127" s="920"/>
      <c r="N127" s="920"/>
      <c r="O127" s="920"/>
      <c r="P127" s="920"/>
      <c r="Q127" s="920"/>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920"/>
      <c r="M128" s="920"/>
      <c r="N128" s="920"/>
      <c r="O128" s="920"/>
      <c r="P128" s="920"/>
      <c r="Q128" s="920"/>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920"/>
      <c r="M129" s="920"/>
      <c r="N129" s="920"/>
      <c r="O129" s="920"/>
      <c r="P129" s="920"/>
      <c r="Q129" s="920"/>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920"/>
      <c r="M130" s="920"/>
      <c r="N130" s="920"/>
      <c r="O130" s="920"/>
      <c r="P130" s="920"/>
      <c r="Q130" s="920"/>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920"/>
      <c r="M131" s="920"/>
      <c r="N131" s="920"/>
      <c r="O131" s="920"/>
      <c r="P131" s="920"/>
      <c r="Q131" s="920"/>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920"/>
      <c r="M132" s="920"/>
      <c r="N132" s="920"/>
      <c r="O132" s="920"/>
      <c r="P132" s="920"/>
      <c r="Q132" s="920"/>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920"/>
      <c r="M133" s="920"/>
      <c r="N133" s="920"/>
      <c r="O133" s="920"/>
      <c r="P133" s="920"/>
      <c r="Q133" s="920"/>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920"/>
      <c r="M134" s="920"/>
      <c r="N134" s="920"/>
      <c r="O134" s="920"/>
      <c r="P134" s="920"/>
      <c r="Q134" s="920"/>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920"/>
      <c r="M135" s="920"/>
      <c r="N135" s="920"/>
      <c r="O135" s="920"/>
      <c r="P135" s="920"/>
      <c r="Q135" s="920"/>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920"/>
      <c r="M136" s="920"/>
      <c r="N136" s="920"/>
      <c r="O136" s="920"/>
      <c r="P136" s="920"/>
      <c r="Q136" s="920"/>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920"/>
      <c r="M137" s="920"/>
      <c r="N137" s="8"/>
      <c r="O137" s="920"/>
      <c r="P137" s="920"/>
      <c r="Q137" s="920"/>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920"/>
      <c r="M138" s="920"/>
      <c r="N138" s="8"/>
      <c r="O138" s="920"/>
      <c r="P138" s="920"/>
      <c r="Q138" s="920"/>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920"/>
      <c r="M139" s="920"/>
      <c r="N139" s="8"/>
      <c r="O139" s="920"/>
      <c r="P139" s="920"/>
      <c r="Q139" s="920"/>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920"/>
      <c r="M140" s="920"/>
      <c r="N140" s="8"/>
      <c r="O140" s="920"/>
      <c r="P140" s="920"/>
      <c r="Q140" s="920"/>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75"/>
      <c r="L141" s="920"/>
      <c r="M141" s="8"/>
      <c r="N141" s="8"/>
      <c r="O141" s="8"/>
      <c r="P141" s="8"/>
      <c r="Q141" s="8"/>
      <c r="R141" s="8"/>
      <c r="S141" s="8"/>
      <c r="T141" s="8"/>
      <c r="U141" s="8"/>
      <c r="V141" s="8"/>
      <c r="W141" s="8"/>
      <c r="X141" s="8"/>
      <c r="Y141" s="8"/>
      <c r="Z141" s="8"/>
      <c r="AA141" s="8"/>
      <c r="AB141" s="8"/>
      <c r="AC141" s="8"/>
      <c r="AD141" s="8"/>
      <c r="AE141" s="8"/>
      <c r="AF141" s="8"/>
      <c r="AG141" s="8"/>
      <c r="AH141" s="8"/>
      <c r="AI141" s="8"/>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5"/>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5"/>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5"/>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5"/>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5"/>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5"/>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5"/>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5"/>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5"/>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5"/>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5"/>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5"/>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5"/>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5"/>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5"/>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5"/>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5"/>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5"/>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5"/>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5"/>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5"/>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5"/>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5"/>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5"/>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5"/>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5"/>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5"/>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5"/>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5"/>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5"/>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5"/>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5"/>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5"/>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5"/>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5"/>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5"/>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5"/>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5"/>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5"/>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5"/>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5"/>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5"/>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5"/>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5"/>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5"/>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5"/>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5"/>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5"/>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5"/>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5"/>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5"/>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5"/>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5"/>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5"/>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5"/>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5"/>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5"/>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5"/>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5"/>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5"/>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5"/>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5"/>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5"/>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5"/>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5"/>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5"/>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5"/>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5"/>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5"/>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5"/>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5"/>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5"/>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5"/>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5"/>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5"/>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5"/>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5"/>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5"/>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5"/>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5"/>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5"/>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5"/>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5"/>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5"/>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5"/>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5"/>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5"/>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5"/>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5"/>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5"/>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5"/>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5"/>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5"/>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5"/>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5"/>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5"/>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5"/>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5"/>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5"/>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5"/>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5"/>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5"/>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5"/>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5"/>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5"/>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5"/>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5"/>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5"/>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5"/>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5"/>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5"/>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5"/>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5"/>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5"/>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5"/>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5"/>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5"/>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5"/>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5"/>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5"/>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5"/>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5"/>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5"/>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5"/>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5"/>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5"/>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5"/>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5"/>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5"/>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5"/>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5"/>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5"/>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5"/>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5"/>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5"/>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5"/>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5"/>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5"/>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5"/>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5"/>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5"/>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5"/>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5"/>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5"/>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5"/>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5"/>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5"/>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5"/>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5"/>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5"/>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5"/>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5"/>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5"/>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5"/>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5"/>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5"/>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5"/>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5"/>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5"/>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5"/>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5"/>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5"/>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5"/>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5"/>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5"/>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5"/>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5"/>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5"/>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5"/>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5"/>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5"/>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5"/>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5"/>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5"/>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5"/>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5"/>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5"/>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5"/>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5"/>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5"/>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5"/>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5"/>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5"/>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5"/>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5"/>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5"/>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5"/>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5"/>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5"/>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5"/>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5"/>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5"/>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5"/>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5"/>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5"/>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5"/>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5"/>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5"/>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5"/>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5"/>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5"/>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5"/>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5"/>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5"/>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5"/>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5"/>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5"/>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5"/>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5"/>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5"/>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5"/>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5"/>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5"/>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5"/>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5"/>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5"/>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5"/>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5"/>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5"/>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5"/>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5"/>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5"/>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5"/>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5"/>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5"/>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5"/>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5"/>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5"/>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5"/>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5"/>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5"/>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5"/>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5"/>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5"/>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5"/>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5"/>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5"/>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5"/>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5"/>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5"/>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5"/>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5"/>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5"/>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5"/>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5"/>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5"/>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5"/>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5"/>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5"/>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5"/>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5"/>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5"/>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5"/>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5"/>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5"/>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5"/>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5"/>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5"/>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5"/>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5"/>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5"/>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5"/>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5"/>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5"/>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5"/>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5"/>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5"/>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5"/>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5"/>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5"/>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5"/>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5"/>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5"/>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5"/>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5"/>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5"/>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5"/>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5"/>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5"/>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5"/>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5"/>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5"/>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5"/>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5"/>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5"/>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5"/>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5"/>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5"/>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5"/>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5"/>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5"/>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5"/>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5"/>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5"/>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5"/>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5"/>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5"/>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5"/>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5"/>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5"/>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5"/>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5"/>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5"/>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5"/>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5"/>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5"/>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5"/>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5"/>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5"/>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5"/>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5"/>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5"/>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5"/>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5"/>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5"/>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5"/>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5"/>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5"/>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5"/>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5"/>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5"/>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5"/>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5"/>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5"/>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5"/>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5"/>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5"/>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5"/>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5"/>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5"/>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5"/>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5"/>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5"/>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5"/>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5"/>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5"/>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5"/>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5"/>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5"/>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5"/>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5"/>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5"/>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5"/>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5"/>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5"/>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5"/>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5"/>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5"/>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5"/>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5"/>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5"/>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5"/>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5"/>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5"/>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5"/>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5"/>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5"/>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5"/>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5"/>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5"/>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5"/>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5"/>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5"/>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5"/>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5"/>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5"/>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5"/>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5"/>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5"/>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5"/>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5"/>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5"/>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5"/>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5"/>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5"/>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5"/>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5"/>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5"/>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5"/>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5"/>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5"/>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5"/>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5"/>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5"/>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5"/>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5"/>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5"/>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5"/>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5"/>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5"/>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5"/>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5"/>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5"/>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5"/>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5"/>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5"/>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5"/>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5"/>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5"/>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5"/>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5"/>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5"/>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5"/>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5"/>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5"/>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5"/>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5"/>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5"/>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5"/>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5"/>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5"/>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5"/>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5"/>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5"/>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5"/>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5"/>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5"/>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5"/>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5"/>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5"/>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5"/>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5"/>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5"/>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5"/>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5"/>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5"/>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5"/>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5"/>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5"/>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5"/>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5"/>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5"/>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5"/>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5"/>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5"/>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5"/>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5"/>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5"/>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5"/>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5"/>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5"/>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5"/>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5"/>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5"/>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5"/>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5"/>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5"/>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5"/>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5"/>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5"/>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5"/>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5"/>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5"/>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5"/>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5"/>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5"/>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5"/>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5"/>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5"/>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5"/>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5"/>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5"/>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5"/>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5"/>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5"/>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5"/>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5"/>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5"/>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5"/>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5"/>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5"/>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5"/>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5"/>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5"/>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5"/>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5"/>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5"/>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5"/>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5"/>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5"/>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5"/>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5"/>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5"/>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5"/>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5"/>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5"/>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5"/>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5"/>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5"/>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5"/>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5"/>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5"/>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5"/>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5"/>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5"/>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5"/>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5"/>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5"/>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5"/>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5"/>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5"/>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5"/>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5"/>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5"/>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5"/>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5"/>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5"/>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5"/>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5"/>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5"/>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5"/>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5"/>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5"/>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5"/>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5"/>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5"/>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5"/>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5"/>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5"/>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5"/>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5"/>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5"/>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5"/>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5"/>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5"/>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5"/>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5"/>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5"/>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5"/>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5"/>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5"/>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5"/>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5"/>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5"/>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5"/>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5"/>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5"/>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5"/>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5"/>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5"/>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5"/>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5"/>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5"/>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5"/>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5"/>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5"/>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5"/>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5"/>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5"/>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5"/>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5"/>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5"/>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5"/>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5"/>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5"/>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5"/>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5"/>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5"/>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5"/>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5"/>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5"/>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5"/>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5"/>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5"/>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5"/>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5"/>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5"/>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5"/>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5"/>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5"/>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5"/>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5"/>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5"/>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5"/>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5"/>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5"/>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5"/>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5"/>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5"/>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5"/>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5"/>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5"/>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5"/>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5"/>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5"/>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5"/>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5"/>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5"/>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5"/>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5"/>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5"/>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5"/>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5"/>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5"/>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5"/>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5"/>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5"/>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5"/>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5"/>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5"/>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5"/>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5"/>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5"/>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5"/>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5"/>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5"/>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5"/>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5"/>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5"/>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5"/>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5"/>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5"/>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5"/>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5"/>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5"/>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5"/>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5"/>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5"/>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5"/>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5"/>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5"/>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5"/>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5"/>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5"/>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5"/>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5"/>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5"/>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5"/>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5"/>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5"/>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5"/>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5"/>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5"/>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5"/>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5"/>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5"/>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5"/>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5"/>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5"/>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5"/>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5"/>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5"/>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5"/>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5"/>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5"/>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5"/>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5"/>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5"/>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5"/>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5"/>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5"/>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5"/>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5"/>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5"/>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5"/>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5"/>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5"/>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5"/>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5"/>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5"/>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5"/>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5"/>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5"/>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5"/>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5"/>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5"/>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5"/>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5"/>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5"/>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5"/>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5"/>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5"/>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5"/>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5"/>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5"/>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5"/>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5"/>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5"/>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5"/>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5"/>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5"/>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5"/>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5"/>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5"/>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5"/>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5"/>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5"/>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5"/>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5"/>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5"/>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5"/>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5"/>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5"/>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5"/>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5"/>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5"/>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5"/>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5"/>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5"/>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5"/>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5"/>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5"/>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5"/>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5"/>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5"/>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5"/>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5"/>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5"/>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5"/>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5"/>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5"/>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5"/>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5"/>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5"/>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5"/>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5"/>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5"/>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5"/>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5"/>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5"/>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5"/>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5"/>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5"/>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5"/>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5"/>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5"/>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5"/>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5"/>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5"/>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5"/>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5"/>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5"/>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5"/>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5"/>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5"/>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5"/>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5"/>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5"/>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5"/>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5"/>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5"/>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5"/>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5"/>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5"/>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5"/>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5"/>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5"/>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5"/>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5"/>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5"/>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5"/>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5"/>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5"/>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5"/>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5"/>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5"/>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5"/>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5"/>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5"/>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5"/>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5"/>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5"/>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5"/>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5"/>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5"/>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5"/>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5"/>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5"/>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5"/>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5"/>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5"/>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5"/>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5"/>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5"/>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5"/>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5"/>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5"/>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5"/>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5"/>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5"/>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5"/>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5"/>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5"/>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5"/>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5"/>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5"/>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5"/>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5"/>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5"/>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5"/>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5"/>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5"/>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5"/>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5"/>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5"/>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5"/>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5"/>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5"/>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5"/>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5"/>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5"/>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5"/>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5"/>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5"/>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5"/>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5"/>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5"/>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5"/>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5"/>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5"/>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5"/>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5"/>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5"/>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5"/>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5"/>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5"/>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5"/>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5"/>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5"/>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5"/>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5"/>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5"/>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5"/>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5"/>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5"/>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5"/>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5"/>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5"/>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5"/>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5"/>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5"/>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5"/>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5"/>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5"/>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5"/>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5"/>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5"/>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5"/>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5"/>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5"/>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5"/>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5"/>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5"/>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5"/>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5"/>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5"/>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5"/>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5"/>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5"/>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5"/>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5"/>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5"/>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5"/>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5"/>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5"/>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5"/>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5"/>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5"/>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5"/>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row r="1001" ht="15" customHeight="1" spans="11:35" x14ac:dyDescent="0.25">
      <c r="K1001" s="235"/>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3"/>
  <sheetViews>
    <sheetView workbookViewId="0" showGridLines="0" zoomScale="80" zoomScaleNormal="80">
      <pane ySplit="2" topLeftCell="A47" activePane="bottomLeft" state="frozen"/>
      <selection pane="bottomLeft"/>
    </sheetView>
  </sheetViews>
  <sheetFormatPr defaultRowHeight="15" outlineLevelRow="1" outlineLevelCol="0" x14ac:dyDescent="0" defaultColWidth="14.5"/>
  <cols>
    <col min="1" max="2" width="1.6640625" customWidth="1"/>
    <col min="3" max="3" width="16.33203125" customWidth="1"/>
    <col min="4" max="4" width="10.33203125" customWidth="1"/>
    <col min="5" max="5" width="11" customWidth="1"/>
    <col min="6" max="15" width="10.5" customWidth="1"/>
    <col min="16" max="16" width="12.5" customWidth="1"/>
    <col min="17" max="17" width="10.5" customWidth="1"/>
    <col min="18" max="18" width="11.5" customWidth="1"/>
    <col min="19" max="19" width="8.6640625" customWidth="1"/>
    <col min="20" max="25" width="10.5" customWidth="1"/>
    <col min="26" max="30" width="8.6640625" customWidth="1"/>
  </cols>
  <sheetData>
    <row r="1" ht="13.5" customHeight="1" spans="1:30" x14ac:dyDescent="0.25">
      <c r="A1" s="1"/>
      <c r="B1" s="1"/>
      <c r="C1" s="2" t="str">
        <f>Company_Name&amp;" - "&amp;MID(CELL("filename",A1),FIND("]",CELL("filename",A1))+1,255)&amp;": "&amp;Case_Scenario&amp;" Case"</f>
        <v>Republic Services,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ht="13.5" customHeight="1"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7" t="s">
        <v>3</v>
      </c>
      <c r="B3" s="8"/>
      <c r="C3" s="8"/>
      <c r="D3" s="8"/>
      <c r="E3" s="8"/>
      <c r="F3" s="8"/>
      <c r="G3" s="8"/>
      <c r="H3" s="8"/>
      <c r="I3" s="8"/>
      <c r="J3" s="8"/>
      <c r="K3" s="8"/>
      <c r="L3" s="8"/>
      <c r="M3" s="8"/>
      <c r="N3" s="8"/>
      <c r="O3" s="8"/>
      <c r="P3" s="8"/>
      <c r="Q3" s="8"/>
      <c r="R3" s="8"/>
      <c r="S3" s="8" t="s">
        <v>3</v>
      </c>
      <c r="T3" s="8"/>
      <c r="U3" s="8"/>
      <c r="V3" s="8"/>
      <c r="W3" s="8"/>
      <c r="X3" s="8"/>
      <c r="Y3" s="8"/>
      <c r="Z3" s="8"/>
      <c r="AA3" s="8"/>
      <c r="AB3" s="8"/>
      <c r="AC3" s="8"/>
      <c r="AD3" s="8"/>
    </row>
    <row r="4" ht="13.5" customHeight="1" spans="1:30" x14ac:dyDescent="0.25">
      <c r="A4" s="9"/>
      <c r="B4" s="8"/>
      <c r="C4" s="101" t="s">
        <v>1013</v>
      </c>
      <c r="D4" s="102"/>
      <c r="E4" s="102"/>
      <c r="F4" s="102"/>
      <c r="G4" s="102"/>
      <c r="H4" s="102"/>
      <c r="I4" s="102"/>
      <c r="J4" s="8"/>
      <c r="K4" s="8"/>
      <c r="L4" s="8"/>
      <c r="M4" s="8"/>
      <c r="N4" s="8"/>
      <c r="O4" s="8"/>
      <c r="P4" s="8"/>
      <c r="Q4" s="8"/>
      <c r="R4" s="8"/>
      <c r="S4" s="8"/>
      <c r="T4" s="8"/>
      <c r="U4" s="8"/>
      <c r="V4" s="8"/>
      <c r="W4" s="8"/>
      <c r="X4" s="8"/>
      <c r="Y4" s="8"/>
      <c r="Z4" s="8"/>
      <c r="AA4" s="8"/>
      <c r="AB4" s="8"/>
      <c r="AC4" s="8"/>
      <c r="AD4" s="8"/>
    </row>
    <row r="5" ht="13.5" customHeight="1" spans="1:30" x14ac:dyDescent="0.25">
      <c r="A5" s="9"/>
      <c r="B5" s="8"/>
      <c r="C5" s="191"/>
      <c r="D5" s="191"/>
      <c r="E5" s="191"/>
      <c r="F5" s="191"/>
      <c r="G5" s="191"/>
      <c r="H5" s="191"/>
      <c r="I5" s="191"/>
      <c r="J5" s="8"/>
      <c r="K5" s="8"/>
      <c r="L5" s="8"/>
      <c r="M5" s="8"/>
      <c r="N5" s="8"/>
      <c r="O5" s="8"/>
      <c r="P5" s="8"/>
      <c r="Q5" s="8"/>
      <c r="R5" s="8"/>
      <c r="S5" s="8"/>
      <c r="T5" s="8"/>
      <c r="U5" s="8"/>
      <c r="V5" s="8"/>
      <c r="W5" s="8"/>
      <c r="X5" s="8"/>
      <c r="Y5" s="8"/>
      <c r="Z5" s="8"/>
      <c r="AA5" s="8"/>
      <c r="AB5" s="8"/>
      <c r="AC5" s="8"/>
      <c r="AD5" s="8"/>
    </row>
    <row r="6" ht="13.5" customHeight="1" spans="1:30" x14ac:dyDescent="0.25">
      <c r="A6" s="9"/>
      <c r="B6" s="8"/>
      <c r="C6" s="182"/>
      <c r="D6" s="894">
        <f>Summary!T$6</f>
        <v>2023</v>
      </c>
      <c r="E6" s="894">
        <f>Summary!U$6</f>
        <v>2024</v>
      </c>
      <c r="F6" s="894">
        <f>Summary!V$6</f>
        <v>2025</v>
      </c>
      <c r="G6" s="894" t="str">
        <f>Summary!W$6</f>
        <v>2026e</v>
      </c>
      <c r="H6" s="894" t="str">
        <f>Summary!X$6</f>
        <v>2027e</v>
      </c>
      <c r="I6" s="895" t="str">
        <f>Summary!Y$6</f>
        <v>2028e</v>
      </c>
      <c r="J6" s="8"/>
      <c r="K6" s="896"/>
      <c r="L6" s="8"/>
      <c r="M6" s="8"/>
      <c r="N6" s="8"/>
      <c r="O6" s="8"/>
      <c r="P6" s="8"/>
      <c r="Q6" s="8"/>
      <c r="R6" s="8"/>
      <c r="S6" s="8"/>
      <c r="T6" s="8"/>
      <c r="U6" s="8"/>
      <c r="V6" s="8"/>
      <c r="W6" s="8"/>
      <c r="X6" s="8"/>
      <c r="Y6" s="8"/>
      <c r="Z6" s="8"/>
      <c r="AA6" s="8"/>
      <c r="AB6" s="8"/>
      <c r="AC6" s="8"/>
      <c r="AD6" s="8"/>
    </row>
    <row r="7" ht="13.5" customHeight="1" spans="1:30" x14ac:dyDescent="0.25">
      <c r="A7" s="9"/>
      <c r="B7" s="8"/>
      <c r="C7" s="897" t="s">
        <v>273</v>
      </c>
      <c r="D7" s="898">
        <f>Summary!T16</f>
        <v>1</v>
      </c>
      <c r="E7" s="898">
        <f>Summary!U16</f>
        <v>1</v>
      </c>
      <c r="F7" s="898">
        <f>Summary!V16</f>
        <v>1</v>
      </c>
      <c r="G7" s="898">
        <f>Summary!W16</f>
        <v>0.22101088042289901</v>
      </c>
      <c r="H7" s="898">
        <f>Summary!X16</f>
        <v>0.21023806148172267</v>
      </c>
      <c r="I7" s="898">
        <f>Summary!Y16</f>
        <v>0.2194994476133936</v>
      </c>
      <c r="J7" s="8"/>
      <c r="K7" s="8"/>
      <c r="L7" s="8"/>
      <c r="M7" s="8"/>
      <c r="N7" s="8"/>
      <c r="O7" s="8"/>
      <c r="P7" s="8"/>
      <c r="Q7" s="8"/>
      <c r="R7" s="8"/>
      <c r="S7" s="8"/>
      <c r="T7" s="8"/>
      <c r="U7" s="8"/>
      <c r="V7" s="8"/>
      <c r="W7" s="8"/>
      <c r="X7" s="8"/>
      <c r="Y7" s="8"/>
      <c r="Z7" s="899"/>
      <c r="AA7" s="8"/>
      <c r="AB7" s="8"/>
      <c r="AC7" s="8"/>
      <c r="AD7" s="8"/>
    </row>
    <row r="8" ht="13.5" customHeight="1" spans="1:30" x14ac:dyDescent="0.25">
      <c r="A8" s="9"/>
      <c r="B8" s="8"/>
      <c r="C8" s="897" t="s">
        <v>1014</v>
      </c>
      <c r="D8" s="898">
        <f>Summary!T28</f>
        <v>1</v>
      </c>
      <c r="E8" s="898">
        <f>Summary!U28</f>
        <v>1</v>
      </c>
      <c r="F8" s="898">
        <f>Summary!V28</f>
        <v>1</v>
      </c>
      <c r="G8" s="898">
        <f>Summary!W28</f>
        <v>0.3278122132398317</v>
      </c>
      <c r="H8" s="898">
        <f>Summary!X28</f>
        <v>0.31803578757079776</v>
      </c>
      <c r="I8" s="898">
        <f>Summary!Y28</f>
        <v>0.324</v>
      </c>
      <c r="J8" s="8"/>
      <c r="K8" s="8"/>
      <c r="L8" s="8"/>
      <c r="M8" s="8"/>
      <c r="N8" s="8"/>
      <c r="O8" s="8"/>
      <c r="P8" s="8"/>
      <c r="Q8" s="8"/>
      <c r="R8" s="8"/>
      <c r="S8" s="8"/>
      <c r="T8" s="8"/>
      <c r="U8" s="8"/>
      <c r="V8" s="8"/>
      <c r="W8" s="8"/>
      <c r="X8" s="8"/>
      <c r="Y8" s="8"/>
      <c r="Z8" s="8"/>
      <c r="AA8" s="8"/>
      <c r="AB8" s="8"/>
      <c r="AC8" s="8"/>
      <c r="AD8" s="8"/>
    </row>
    <row r="9" ht="13.5" customHeight="1" spans="1:30" x14ac:dyDescent="0.25">
      <c r="A9" s="9"/>
      <c r="B9" s="8"/>
      <c r="C9" s="900" t="s">
        <v>1015</v>
      </c>
      <c r="D9" s="901">
        <f>Summary!T20</f>
        <v>1</v>
      </c>
      <c r="E9" s="901">
        <f>Summary!U20</f>
        <v>1</v>
      </c>
      <c r="F9" s="901">
        <f>Summary!V20</f>
        <v>1</v>
      </c>
      <c r="G9" s="901">
        <f>Summary!W20</f>
        <v>0.14984053900151112</v>
      </c>
      <c r="H9" s="901">
        <f>Summary!X20</f>
        <v>0.1375244262005886</v>
      </c>
      <c r="I9" s="901">
        <f>Summary!Y20</f>
        <v>0.14815846391492285</v>
      </c>
      <c r="J9" s="8"/>
      <c r="K9" s="8"/>
      <c r="L9" s="8"/>
      <c r="M9" s="8"/>
      <c r="N9" s="8"/>
      <c r="O9" s="8"/>
      <c r="P9" s="8"/>
      <c r="Q9" s="8"/>
      <c r="R9" s="8"/>
      <c r="S9" s="8"/>
      <c r="T9" s="8"/>
      <c r="U9" s="8"/>
      <c r="V9" s="8"/>
      <c r="W9" s="8"/>
      <c r="X9" s="8"/>
      <c r="Y9" s="8"/>
      <c r="Z9" s="8"/>
      <c r="AA9" s="8"/>
      <c r="AB9" s="8"/>
      <c r="AC9" s="8"/>
      <c r="AD9" s="8"/>
    </row>
    <row r="10" ht="13.5" customHeight="1"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ht="13.5" customHeight="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ht="13.5" customHeight="1"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ht="13.5" customHeight="1"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ht="13.5" customHeight="1"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ht="13.5" customHeight="1"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ht="13.5" customHeight="1"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ht="13.5" customHeight="1"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ht="13.5" customHeight="1"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ht="13.5" customHeight="1"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ht="13.5" customHeight="1"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3.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3.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3.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3.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3.5" customHeight="1" spans="1:30" x14ac:dyDescent="0.25">
      <c r="A25" s="9" t="s">
        <v>3</v>
      </c>
      <c r="B25" s="8"/>
      <c r="C25" s="101" t="str">
        <f>Ticker&amp;" - Financial Analysis"</f>
        <v>RSG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3.5" customHeight="1" spans="1:30" x14ac:dyDescent="0.25">
      <c r="A26" s="9"/>
      <c r="B26" s="8"/>
      <c r="C26" s="191"/>
      <c r="D26" s="191"/>
      <c r="E26" s="191"/>
      <c r="F26" s="191"/>
      <c r="G26" s="191"/>
      <c r="H26" s="191"/>
      <c r="I26" s="191"/>
      <c r="J26" s="8"/>
      <c r="K26" s="8"/>
      <c r="L26" s="8"/>
      <c r="M26" s="8"/>
      <c r="N26" s="8"/>
      <c r="O26" s="8"/>
      <c r="P26" s="8"/>
      <c r="Q26" s="8"/>
      <c r="R26" s="8"/>
      <c r="S26" s="8"/>
      <c r="T26" s="8"/>
      <c r="U26" s="8"/>
      <c r="V26" s="8"/>
      <c r="W26" s="8"/>
      <c r="X26" s="8"/>
      <c r="Y26" s="8"/>
      <c r="Z26" s="8"/>
      <c r="AA26" s="8"/>
      <c r="AB26" s="8"/>
      <c r="AC26" s="8"/>
      <c r="AD26" s="8"/>
    </row>
    <row r="27" ht="13.5" customHeight="1" spans="1:30" x14ac:dyDescent="0.25">
      <c r="A27" s="9"/>
      <c r="B27" s="8"/>
      <c r="C27" s="191"/>
      <c r="D27" s="191"/>
      <c r="E27" s="191"/>
      <c r="F27" s="191"/>
      <c r="G27" s="191"/>
      <c r="H27" s="191"/>
      <c r="I27" s="191"/>
      <c r="J27" s="8"/>
      <c r="K27" s="8"/>
      <c r="L27" s="8"/>
      <c r="M27" s="8"/>
      <c r="N27" s="8"/>
      <c r="O27" s="8"/>
      <c r="P27" s="8"/>
      <c r="Q27" s="8"/>
      <c r="R27" s="8"/>
      <c r="S27" s="8"/>
      <c r="T27" s="8"/>
      <c r="U27" s="8"/>
      <c r="V27" s="8"/>
      <c r="W27" s="8"/>
      <c r="X27" s="8"/>
      <c r="Y27" s="8"/>
      <c r="Z27" s="8"/>
      <c r="AA27" s="8"/>
      <c r="AB27" s="8"/>
      <c r="AC27" s="8"/>
      <c r="AD27" s="8"/>
    </row>
    <row r="28" ht="13.5" customHeight="1" spans="1:30" x14ac:dyDescent="0.25">
      <c r="A28" s="9"/>
      <c r="B28" s="8"/>
      <c r="C28" s="101" t="str">
        <f>'Revenue Build'!$C$32</f>
        <v>Collection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3.5" customHeight="1" spans="1:30" x14ac:dyDescent="0.25">
      <c r="A29" s="9"/>
      <c r="B29" s="8"/>
      <c r="C29" s="191"/>
      <c r="D29" s="191"/>
      <c r="E29" s="191"/>
      <c r="F29" s="191"/>
      <c r="G29" s="191"/>
      <c r="H29" s="191"/>
      <c r="I29" s="191"/>
      <c r="J29" s="8"/>
      <c r="K29" s="8"/>
      <c r="L29" s="8"/>
      <c r="M29" s="8"/>
      <c r="N29" s="8"/>
      <c r="O29" s="8"/>
      <c r="P29" s="8"/>
      <c r="Q29" s="8"/>
      <c r="R29" s="8"/>
      <c r="S29" s="8"/>
      <c r="T29" s="8"/>
      <c r="U29" s="8"/>
      <c r="V29" s="8"/>
      <c r="W29" s="8"/>
      <c r="X29" s="8"/>
      <c r="Y29" s="8"/>
      <c r="Z29" s="8"/>
      <c r="AA29" s="8"/>
      <c r="AB29" s="8"/>
      <c r="AC29" s="8"/>
      <c r="AD29" s="8"/>
    </row>
    <row r="30" ht="13.5" customHeight="1" spans="1:30" x14ac:dyDescent="0.25">
      <c r="A30" s="9"/>
      <c r="B30" s="8"/>
      <c r="C30" s="182"/>
      <c r="D30" s="894">
        <v>2024</v>
      </c>
      <c r="E30" s="894" t="s">
        <v>1016</v>
      </c>
      <c r="F30" s="894" t="s">
        <v>1017</v>
      </c>
      <c r="G30" s="894" t="s">
        <v>1018</v>
      </c>
      <c r="H30" s="894" t="s">
        <v>1019</v>
      </c>
      <c r="I30" s="895" t="s">
        <v>1020</v>
      </c>
      <c r="J30" s="8"/>
      <c r="K30" s="182"/>
      <c r="L30" s="894">
        <f t="shared" ref="L30:Q30" si="0">D30</f>
        <v>2024</v>
      </c>
      <c r="M30" s="894" t="str">
        <f t="shared" si="0"/>
        <v>2025e</v>
      </c>
      <c r="N30" s="894" t="str">
        <f t="shared" si="0"/>
        <v>2026e</v>
      </c>
      <c r="O30" s="894" t="str">
        <f t="shared" si="0"/>
        <v>2027e</v>
      </c>
      <c r="P30" s="894" t="str">
        <f t="shared" si="0"/>
        <v>2028e</v>
      </c>
      <c r="Q30" s="895" t="str">
        <f t="shared" si="0"/>
        <v>2029e</v>
      </c>
      <c r="R30" s="8"/>
      <c r="S30" s="8"/>
      <c r="T30" s="8"/>
      <c r="U30" s="8"/>
      <c r="V30" s="8"/>
      <c r="W30" s="8"/>
      <c r="X30" s="8"/>
      <c r="Y30" s="8"/>
      <c r="Z30" s="8"/>
      <c r="AA30" s="8"/>
      <c r="AB30" s="8"/>
      <c r="AC30" s="8"/>
      <c r="AD30" s="8"/>
    </row>
    <row r="31" ht="13.5" customHeight="1" spans="1:30" x14ac:dyDescent="0.25">
      <c r="A31" s="9"/>
      <c r="B31" s="8"/>
      <c r="C31" s="902" t="str">
        <f>C28</f>
        <v>Collection Revenue</v>
      </c>
      <c r="D31" s="273">
        <f>10855.4/1000</f>
        <v>10.8554</v>
      </c>
      <c r="E31" s="273">
        <f>11264.4/1000</f>
        <v>11.2644</v>
      </c>
      <c r="F31" s="273">
        <f>INDEX(Revenue_Data_Summary,MATCH($C31,'Revenue Build'!$C$28:$C$49,0),MATCH(Charts!F$30,'Revenue Build'!$C$28:$AG$28,0))/1000</f>
        <v>11.67419</v>
      </c>
      <c r="G31" s="273">
        <f>INDEX(Revenue_Data_Summary,MATCH($C31,'Revenue Build'!$C$28:$C$49,0),MATCH(Charts!G$30,'Revenue Build'!$C$28:$AG$28,0))/1000</f>
        <v>12.260867826</v>
      </c>
      <c r="H31" s="273">
        <f>INDEX(Revenue_Data_Summary,MATCH($C31,'Revenue Build'!$C$28:$C$49,0),MATCH(Charts!H$30,'Revenue Build'!$C$28:$AG$28,0))/1000</f>
        <v>12.849389481648</v>
      </c>
      <c r="I31" s="273">
        <f>INDEX(Revenue_Data_Summary,MATCH($C31,'Revenue Build'!$C$28:$C$49,0),MATCH(Charts!I$30,'Revenue Build'!$C$28:$AG$28,0))/1000</f>
        <v>13.504708345212048</v>
      </c>
      <c r="J31" s="8"/>
      <c r="K31" s="902" t="str">
        <f>K28</f>
        <v>Total Company Revenue</v>
      </c>
      <c r="L31" s="273">
        <f>INDEX(Revenue_Data_Summary,MATCH($K31,'Revenue Build'!$C$28:$C$49,0),MATCH(Charts!L$30,'Revenue Build'!$C$28:$AG$28,0))/1000</f>
        <v>16.0319</v>
      </c>
      <c r="M31" s="273" t="e">
        <f>INDEX(Revenue_Data_Summary,MATCH($K31,'Revenue Build'!$C$28:$C$49,0),MATCH(Charts!M$30,'Revenue Build'!$C$28:$AG$28,0))/1000</f>
        <v>#N/A</v>
      </c>
      <c r="N31" s="273">
        <f>INDEX(Revenue_Data_Summary,MATCH($K31,'Revenue Build'!$C$28:$C$49,0),MATCH(Charts!N$30,'Revenue Build'!$C$28:$AG$28,0))/1000</f>
        <v>17.200813000000004</v>
      </c>
      <c r="O31" s="273">
        <f>INDEX(Revenue_Data_Summary,MATCH($K31,'Revenue Build'!$C$28:$C$49,0),MATCH(Charts!O$30,'Revenue Build'!$C$28:$AG$28,0))/1000</f>
        <v>18.048662667</v>
      </c>
      <c r="P31" s="273">
        <f>INDEX(Revenue_Data_Summary,MATCH($K31,'Revenue Build'!$C$28:$C$49,0),MATCH(Charts!P$30,'Revenue Build'!$C$28:$AG$28,0))/1000</f>
        <v>18.921749183770995</v>
      </c>
      <c r="Q31" s="273">
        <f>INDEX(Revenue_Data_Summary,MATCH($K31,'Revenue Build'!$C$28:$C$49,0),MATCH(Charts!Q$30,'Revenue Build'!$C$28:$AG$28,0))/1000</f>
        <v>19.882732929281065</v>
      </c>
      <c r="R31" s="8"/>
      <c r="S31" s="8"/>
      <c r="T31" s="8"/>
      <c r="U31" s="8"/>
      <c r="V31" s="8"/>
      <c r="W31" s="8"/>
      <c r="X31" s="8"/>
      <c r="Y31" s="8"/>
      <c r="Z31" s="8"/>
      <c r="AA31" s="8"/>
      <c r="AB31" s="8"/>
      <c r="AC31" s="8"/>
      <c r="AD31" s="8"/>
    </row>
    <row r="32" ht="13.5" customHeight="1" spans="1:30" x14ac:dyDescent="0.25">
      <c r="A32" s="9"/>
      <c r="B32" s="8"/>
      <c r="C32" s="900" t="s">
        <v>1021</v>
      </c>
      <c r="D32" s="903">
        <v>0</v>
      </c>
      <c r="E32" s="904">
        <f>E31/D31-1</f>
        <v>0.037677100797759655</v>
      </c>
      <c r="F32" s="904">
        <f>F31/E31-1</f>
        <v>0.036379212385923676</v>
      </c>
      <c r="G32" s="904">
        <f>G31/F31-1</f>
        <v>0.050254263978914304</v>
      </c>
      <c r="H32" s="904">
        <f>H31/G31-1</f>
        <v>0.04800000000000004</v>
      </c>
      <c r="I32" s="904">
        <f>I31/H31-1</f>
        <v>0.050999999999999934</v>
      </c>
      <c r="J32" s="8"/>
      <c r="K32" s="900" t="s">
        <v>1021</v>
      </c>
      <c r="L32" s="903">
        <v>0</v>
      </c>
      <c r="M32" s="904" t="e">
        <f>M31/L31-1</f>
        <v>#N/A</v>
      </c>
      <c r="N32" s="904" t="e">
        <f>N31/M31-1</f>
        <v>#N/A</v>
      </c>
      <c r="O32" s="904">
        <f>O31/N31-1</f>
        <v>0.049291255419147584</v>
      </c>
      <c r="P32" s="904">
        <f>P31/O31-1</f>
        <v>0.04837402819696668</v>
      </c>
      <c r="Q32" s="904">
        <f>Q31/P31-1</f>
        <v>0.05078725736066181</v>
      </c>
      <c r="R32" s="8"/>
      <c r="S32" s="8"/>
      <c r="T32" s="8"/>
      <c r="U32" s="8"/>
      <c r="V32" s="8"/>
      <c r="W32" s="8"/>
      <c r="X32" s="8"/>
      <c r="Y32" s="8"/>
      <c r="Z32" s="8"/>
      <c r="AA32" s="8"/>
      <c r="AB32" s="8"/>
      <c r="AC32" s="8"/>
      <c r="AD32" s="8"/>
    </row>
    <row r="33" ht="13.5" customHeight="1" spans="1:30"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3.5" customHeight="1" spans="1:30" x14ac:dyDescent="0.25">
      <c r="A34" s="9"/>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3.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3.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3.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3.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3.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3.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3.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3.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3.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3.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3.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3.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3.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3.5" customHeight="1" hidden="1" spans="1:30" x14ac:dyDescent="0.25" outlineLevel="1" collapsed="1">
      <c r="A48" s="9"/>
      <c r="B48" s="8"/>
      <c r="C48" s="101" t="str">
        <f>'Revenue Build'!$C$35</f>
        <v>Landfill Revenue</v>
      </c>
      <c r="D48" s="101"/>
      <c r="E48" s="101"/>
      <c r="F48" s="101"/>
      <c r="G48" s="101"/>
      <c r="H48" s="101"/>
      <c r="I48" s="101"/>
      <c r="J48" s="8"/>
      <c r="K48" s="101" t="str">
        <f>'Revenue Build'!$C$44</f>
        <v>Other Revenue</v>
      </c>
      <c r="L48" s="101"/>
      <c r="M48" s="101"/>
      <c r="N48" s="101"/>
      <c r="O48" s="101"/>
      <c r="P48" s="101"/>
      <c r="Q48" s="101"/>
      <c r="R48" s="8"/>
      <c r="S48" s="8"/>
      <c r="T48" s="8"/>
      <c r="U48" s="8"/>
      <c r="V48" s="8"/>
      <c r="W48" s="8"/>
      <c r="X48" s="8"/>
      <c r="Y48" s="8"/>
      <c r="Z48" s="8"/>
      <c r="AA48" s="8"/>
      <c r="AB48" s="8"/>
      <c r="AC48" s="8"/>
      <c r="AD48" s="8"/>
    </row>
    <row r="49" ht="13.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3.5" customHeight="1" hidden="1" spans="1:30" x14ac:dyDescent="0.25" outlineLevel="1" collapsed="1">
      <c r="A50" s="9"/>
      <c r="B50" s="8"/>
      <c r="C50" s="182"/>
      <c r="D50" s="894">
        <f t="shared" ref="D50:I50" si="1">D30</f>
        <v>2024</v>
      </c>
      <c r="E50" s="894" t="str">
        <f t="shared" si="1"/>
        <v>2025e</v>
      </c>
      <c r="F50" s="894" t="str">
        <f t="shared" si="1"/>
        <v>2026e</v>
      </c>
      <c r="G50" s="894" t="str">
        <f t="shared" si="1"/>
        <v>2027e</v>
      </c>
      <c r="H50" s="894" t="str">
        <f t="shared" si="1"/>
        <v>2028e</v>
      </c>
      <c r="I50" s="895" t="str">
        <f t="shared" si="1"/>
        <v>2029e</v>
      </c>
      <c r="J50" s="8"/>
      <c r="K50" s="182"/>
      <c r="L50" s="894">
        <f t="shared" ref="L50:Q50" si="2">L30</f>
        <v>2024</v>
      </c>
      <c r="M50" s="894" t="str">
        <f t="shared" si="2"/>
        <v>2025e</v>
      </c>
      <c r="N50" s="894" t="str">
        <f t="shared" si="2"/>
        <v>2026e</v>
      </c>
      <c r="O50" s="894" t="str">
        <f t="shared" si="2"/>
        <v>2027e</v>
      </c>
      <c r="P50" s="894" t="str">
        <f t="shared" si="2"/>
        <v>2028e</v>
      </c>
      <c r="Q50" s="895" t="str">
        <f t="shared" si="2"/>
        <v>2029e</v>
      </c>
      <c r="R50" s="8"/>
      <c r="S50" s="8"/>
      <c r="T50" s="8"/>
      <c r="U50" s="8"/>
      <c r="V50" s="8"/>
      <c r="W50" s="8"/>
      <c r="X50" s="8"/>
      <c r="Y50" s="8"/>
      <c r="Z50" s="8"/>
      <c r="AA50" s="8"/>
      <c r="AB50" s="8"/>
      <c r="AC50" s="8"/>
      <c r="AD50" s="8"/>
    </row>
    <row r="51" ht="13.5" customHeight="1" hidden="1" spans="1:30" x14ac:dyDescent="0.25" outlineLevel="1" collapsed="1">
      <c r="A51" s="9"/>
      <c r="B51" s="8"/>
      <c r="C51" s="902" t="str">
        <f>C48</f>
        <v>Landfill Revenue</v>
      </c>
      <c r="D51" s="889">
        <f t="array" ref="D51">INDEX(Revenue_Data_Summary,MATCH($C51,'Revenue Build'!$C$28:$C$49,0),MATCH(Charts!D$50,'Revenue Build'!$C$28:$AG$28,0))</f>
        <v>1740.3999999999999</v>
      </c>
      <c r="E51" s="889" t="e">
        <f t="array" ref="E51">INDEX(Revenue_Data_Summary,MATCH($C51,'Revenue Build'!$C$28:$C$49,0),MATCH(Charts!E$50,'Revenue Build'!$C$28:$AG$28,0))</f>
        <v>#N/A</v>
      </c>
      <c r="F51" s="889">
        <f t="array" ref="F51">INDEX(Revenue_Data_Summary,MATCH($C51,'Revenue Build'!$C$28:$C$49,0),MATCH(Charts!F$50,'Revenue Build'!$C$28:$AG$28,0))</f>
        <v>1968.308</v>
      </c>
      <c r="G51" s="889">
        <f t="array" ref="G51">INDEX(Revenue_Data_Summary,MATCH($C51,'Revenue Build'!$C$28:$C$49,0),MATCH(Charts!G$50,'Revenue Build'!$C$28:$AG$28,0))</f>
        <v>2062.959282</v>
      </c>
      <c r="H51" s="889">
        <f t="array" ref="H51">INDEX(Revenue_Data_Summary,MATCH($C51,'Revenue Build'!$C$28:$C$49,0),MATCH(Charts!H$50,'Revenue Build'!$C$28:$AG$28,0))</f>
        <v>2180.547961074</v>
      </c>
      <c r="I51" s="889">
        <f t="array" ref="I51">INDEX(Revenue_Data_Summary,MATCH($C51,'Revenue Build'!$C$28:$C$49,0),MATCH(Charts!I$50,'Revenue Build'!$C$28:$AG$28,0))</f>
        <v>2302.658646894144</v>
      </c>
      <c r="J51" s="8"/>
      <c r="K51" s="902" t="str">
        <f>K48</f>
        <v>Other Revenue</v>
      </c>
      <c r="L51" s="889">
        <f t="array" ref="L51">INDEX(Revenue_Data_Summary,MATCH($K51,'Revenue Build'!$C$28:$C$49,0),MATCH(Charts!L$50,'Revenue Build'!$C$28:$AG$28,0))</f>
        <v>787.9000000000001</v>
      </c>
      <c r="M51" s="889" t="e">
        <f t="array" ref="M51">INDEX(Revenue_Data_Summary,MATCH($K51,'Revenue Build'!$C$28:$C$49,0),MATCH(Charts!M$50,'Revenue Build'!$C$28:$AG$28,0))</f>
        <v>#N/A</v>
      </c>
      <c r="N51" s="889">
        <f t="array" ref="N51">INDEX(Revenue_Data_Summary,MATCH($K51,'Revenue Build'!$C$28:$C$49,0),MATCH(Charts!N$50,'Revenue Build'!$C$28:$AG$28,0))</f>
        <v>839.9739999999999</v>
      </c>
      <c r="O51" s="889">
        <f t="array" ref="O51">INDEX(Revenue_Data_Summary,MATCH($K51,'Revenue Build'!$C$28:$C$49,0),MATCH(Charts!O$50,'Revenue Build'!$C$28:$AG$28,0))</f>
        <v>867.028542</v>
      </c>
      <c r="P51" s="889">
        <f t="array" ref="P51">INDEX(Revenue_Data_Summary,MATCH($K51,'Revenue Build'!$C$28:$C$49,0),MATCH(Charts!P$50,'Revenue Build'!$C$28:$AG$28,0))</f>
        <v>894.773455344</v>
      </c>
      <c r="Q51" s="889">
        <f t="array" ref="Q51">INDEX(Revenue_Data_Summary,MATCH($K51,'Revenue Build'!$C$28:$C$49,0),MATCH(Charts!Q$50,'Revenue Build'!$C$28:$AG$28,0))</f>
        <v>915.3532448169119</v>
      </c>
      <c r="R51" s="8"/>
      <c r="S51" s="8"/>
      <c r="T51" s="8"/>
      <c r="U51" s="8"/>
      <c r="V51" s="8"/>
      <c r="W51" s="8"/>
      <c r="X51" s="8"/>
      <c r="Y51" s="8"/>
      <c r="Z51" s="8"/>
      <c r="AA51" s="8"/>
      <c r="AB51" s="8"/>
      <c r="AC51" s="8"/>
      <c r="AD51" s="8"/>
    </row>
    <row r="52" ht="13.5" customHeight="1" hidden="1" spans="1:30" x14ac:dyDescent="0.25" outlineLevel="1" collapsed="1">
      <c r="A52" s="9"/>
      <c r="B52" s="8"/>
      <c r="C52" s="900" t="s">
        <v>1021</v>
      </c>
      <c r="D52" s="903">
        <v>0</v>
      </c>
      <c r="E52" s="904" t="e">
        <f>E51/D51-1</f>
        <v>#N/A</v>
      </c>
      <c r="F52" s="904" t="e">
        <f>F51/E51-1</f>
        <v>#N/A</v>
      </c>
      <c r="G52" s="904">
        <f>G51/F51-1</f>
        <v>0.04808763770710667</v>
      </c>
      <c r="H52" s="904">
        <f>H51/G51-1</f>
        <v>0.05699999999999994</v>
      </c>
      <c r="I52" s="904">
        <f>I51/H51-1</f>
        <v>0.05600000000000005</v>
      </c>
      <c r="J52" s="8"/>
      <c r="K52" s="900" t="s">
        <v>1021</v>
      </c>
      <c r="L52" s="903">
        <v>0</v>
      </c>
      <c r="M52" s="904">
        <v>0</v>
      </c>
      <c r="N52" s="904" t="e">
        <f>N51/M51-1</f>
        <v>#N/A</v>
      </c>
      <c r="O52" s="904">
        <f>O51/N51-1</f>
        <v>0.03220878503382263</v>
      </c>
      <c r="P52" s="904">
        <f>P51/O51-1</f>
        <v>0.03200000000000003</v>
      </c>
      <c r="Q52" s="904">
        <f>Q51/P51-1</f>
        <v>0.02299999999999991</v>
      </c>
      <c r="R52" s="8"/>
      <c r="S52" s="8"/>
      <c r="T52" s="8"/>
      <c r="U52" s="8"/>
      <c r="V52" s="8"/>
      <c r="W52" s="8"/>
      <c r="X52" s="8"/>
      <c r="Y52" s="8"/>
      <c r="Z52" s="8"/>
      <c r="AA52" s="8"/>
      <c r="AB52" s="8"/>
      <c r="AC52" s="8"/>
      <c r="AD52" s="8"/>
    </row>
    <row r="53" ht="13.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3.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3.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3.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3.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3.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3.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3.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3.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3.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3.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3.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3.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3.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3.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3.5" customHeight="1" spans="1:30" x14ac:dyDescent="0.25">
      <c r="A68" s="9" t="s">
        <v>3</v>
      </c>
      <c r="B68" s="8"/>
      <c r="C68" s="101" t="str">
        <f>Ticker&amp;" - Free Cash Flow"</f>
        <v>RSG - Free Cash Flow</v>
      </c>
      <c r="D68" s="101"/>
      <c r="E68" s="101"/>
      <c r="F68" s="101"/>
      <c r="G68" s="101"/>
      <c r="H68" s="101"/>
      <c r="I68" s="101"/>
      <c r="J68" s="191"/>
      <c r="K68" s="101" t="str">
        <f>Ticker&amp;" - Adj. EPS"</f>
        <v>RSG - Adj. EPS</v>
      </c>
      <c r="L68" s="101"/>
      <c r="M68" s="101"/>
      <c r="N68" s="101"/>
      <c r="O68" s="101"/>
      <c r="P68" s="101"/>
      <c r="Q68" s="101"/>
      <c r="R68" s="8"/>
      <c r="S68" s="8"/>
      <c r="T68" s="8"/>
      <c r="U68" s="8"/>
      <c r="V68" s="8"/>
      <c r="W68" s="8"/>
      <c r="X68" s="8"/>
      <c r="Y68" s="8"/>
      <c r="Z68" s="8"/>
      <c r="AA68" s="8"/>
      <c r="AB68" s="8"/>
      <c r="AC68" s="8"/>
      <c r="AD68" s="8"/>
    </row>
    <row r="69" ht="13.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3.5" customHeight="1" spans="1:30" x14ac:dyDescent="0.25">
      <c r="A70" s="9"/>
      <c r="B70" s="8"/>
      <c r="C70" s="182"/>
      <c r="D70" s="894">
        <f t="shared" ref="D70:I70" si="3">D50</f>
        <v>2024</v>
      </c>
      <c r="E70" s="894" t="str">
        <f t="shared" si="3"/>
        <v>2025e</v>
      </c>
      <c r="F70" s="894" t="str">
        <f t="shared" si="3"/>
        <v>2026e</v>
      </c>
      <c r="G70" s="894" t="str">
        <f t="shared" si="3"/>
        <v>2027e</v>
      </c>
      <c r="H70" s="894" t="str">
        <f t="shared" si="3"/>
        <v>2028e</v>
      </c>
      <c r="I70" s="895" t="str">
        <f t="shared" si="3"/>
        <v>2029e</v>
      </c>
      <c r="J70" s="8"/>
      <c r="K70" s="182"/>
      <c r="L70" s="894">
        <f t="shared" ref="L70:Q70" si="4">L50</f>
        <v>2024</v>
      </c>
      <c r="M70" s="894" t="str">
        <f t="shared" si="4"/>
        <v>2025e</v>
      </c>
      <c r="N70" s="894" t="str">
        <f t="shared" si="4"/>
        <v>2026e</v>
      </c>
      <c r="O70" s="894" t="str">
        <f t="shared" si="4"/>
        <v>2027e</v>
      </c>
      <c r="P70" s="894" t="str">
        <f t="shared" si="4"/>
        <v>2028e</v>
      </c>
      <c r="Q70" s="895" t="str">
        <f t="shared" si="4"/>
        <v>2029e</v>
      </c>
      <c r="R70" s="8"/>
      <c r="S70" s="8"/>
      <c r="T70" s="8"/>
      <c r="U70" s="8"/>
      <c r="V70" s="8"/>
      <c r="W70" s="8"/>
      <c r="X70" s="8"/>
      <c r="Y70" s="8"/>
      <c r="Z70" s="8"/>
      <c r="AA70" s="8"/>
      <c r="AB70" s="8"/>
      <c r="AC70" s="8"/>
      <c r="AD70" s="8"/>
    </row>
    <row r="71" ht="13.5" customHeight="1" spans="1:30" x14ac:dyDescent="0.25">
      <c r="A71" s="9"/>
      <c r="B71" s="8"/>
      <c r="C71" s="897" t="str">
        <f>Model!C115</f>
        <v>Free Cash Flow (FCF)</v>
      </c>
      <c r="D71" s="273">
        <f>INDEX(Data,MATCH($C71,Line_Items,0),MATCH(Charts!D$70,Fiscal_Periods,0))/1000</f>
        <v>16.0319</v>
      </c>
      <c r="E71" s="273" t="e">
        <f>INDEX(Data,MATCH($C71,Line_Items,0),MATCH(Charts!E$70,Fiscal_Periods,0))/1000</f>
        <v>#N/A</v>
      </c>
      <c r="F71" s="273">
        <f>INDEX(Data,MATCH($C71,Line_Items,0),MATCH(Charts!F$70,Fiscal_Periods,0))/1000</f>
        <v>7.446241119228309</v>
      </c>
      <c r="G71" s="273">
        <f>INDEX(Data,MATCH($C71,Line_Items,0),MATCH(Charts!G$70,Fiscal_Periods,0))/1000</f>
        <v>6.6336955310240135</v>
      </c>
      <c r="H71" s="273">
        <f>INDEX(Data,MATCH($C71,Line_Items,0),MATCH(Charts!H$70,Fiscal_Periods,0))/1000</f>
        <v>6.904047670086042</v>
      </c>
      <c r="I71" s="273">
        <f>INDEX(Data,MATCH($C71,Line_Items,0),MATCH(Charts!I$70,Fiscal_Periods,0))/1000</f>
        <v>7.2571308965266486</v>
      </c>
      <c r="J71" s="8"/>
      <c r="K71" s="897" t="str">
        <f>Model!C57</f>
        <v>Adj. EPS (Diluted)</v>
      </c>
      <c r="L71" s="905" t="e">
        <f t="array" ref="L71">INDEX(Data,MATCH($K71,Line_Items,0),MATCH(Charts!L$70,Fiscal_Periods,0))</f>
        <v>#DIV/0!</v>
      </c>
      <c r="M71" s="905" t="e">
        <f t="array" ref="M71">INDEX(Data,MATCH($K71,Line_Items,0),MATCH(Charts!M$70,Fiscal_Periods,0))</f>
        <v>#N/A</v>
      </c>
      <c r="N71" s="905">
        <f t="array" ref="N71">INDEX(Data,MATCH($K71,Line_Items,0),MATCH(Charts!N$70,Fiscal_Periods,0))</f>
        <v>8.301054920353646</v>
      </c>
      <c r="O71" s="905">
        <f t="array" ref="O71">INDEX(Data,MATCH($K71,Line_Items,0),MATCH(Charts!O$70,Fiscal_Periods,0))</f>
        <v>8.014668413303683</v>
      </c>
      <c r="P71" s="905">
        <f t="array" ref="P71">INDEX(Data,MATCH($K71,Line_Items,0),MATCH(Charts!P$70,Fiscal_Periods,0))</f>
        <v>9.103086206487252</v>
      </c>
      <c r="Q71" s="905">
        <f t="array" ref="Q71">INDEX(Data,MATCH($K71,Line_Items,0),MATCH(Charts!Q$70,Fiscal_Periods,0))</f>
        <v>9.567629606410177</v>
      </c>
      <c r="R71" s="8"/>
      <c r="S71" s="8"/>
      <c r="T71" s="8"/>
      <c r="U71" s="8"/>
      <c r="V71" s="8"/>
      <c r="W71" s="8"/>
      <c r="X71" s="8"/>
      <c r="Y71" s="8"/>
      <c r="Z71" s="8"/>
      <c r="AA71" s="8"/>
      <c r="AB71" s="8"/>
      <c r="AC71" s="8"/>
      <c r="AD71" s="8"/>
    </row>
    <row r="72" ht="13.5" customHeight="1" spans="1:30" x14ac:dyDescent="0.25">
      <c r="A72" s="9"/>
      <c r="B72" s="8"/>
      <c r="C72" s="900" t="s">
        <v>1021</v>
      </c>
      <c r="D72" s="903">
        <v>0</v>
      </c>
      <c r="E72" s="904" t="e">
        <f>E71/D71-1</f>
        <v>#N/A</v>
      </c>
      <c r="F72" s="904" t="e">
        <f>F71/E71-1</f>
        <v>#N/A</v>
      </c>
      <c r="G72" s="904">
        <f>G71/F71-1</f>
        <v>-0.10912157895425545</v>
      </c>
      <c r="H72" s="904">
        <f>H71/G71-1</f>
        <v>0.04075437858093789</v>
      </c>
      <c r="I72" s="904">
        <f>I71/H71-1</f>
        <v>0.05114148153559994</v>
      </c>
      <c r="J72" s="8"/>
      <c r="K72" s="900" t="s">
        <v>1021</v>
      </c>
      <c r="L72" s="903">
        <v>0</v>
      </c>
      <c r="M72" s="904"/>
      <c r="N72" s="904" t="e">
        <f>N71/M71-1</f>
        <v>#N/A</v>
      </c>
      <c r="O72" s="904">
        <f>O71/N71-1</f>
        <v>-0.03450001352813148</v>
      </c>
      <c r="P72" s="904">
        <f>P71/O71-1</f>
        <v>0.13580322192455085</v>
      </c>
      <c r="Q72" s="904">
        <f>Q71/P71-1</f>
        <v>0.05103141828887359</v>
      </c>
      <c r="R72" s="8"/>
      <c r="S72" s="8"/>
      <c r="T72" s="8"/>
      <c r="U72" s="8"/>
      <c r="V72" s="8"/>
      <c r="W72" s="8"/>
      <c r="X72" s="8"/>
      <c r="Y72" s="8"/>
      <c r="Z72" s="8"/>
      <c r="AA72" s="8"/>
      <c r="AB72" s="8"/>
      <c r="AC72" s="8"/>
      <c r="AD72" s="8"/>
    </row>
    <row r="73" ht="13.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3.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3.5" customHeight="1" spans="1:30" x14ac:dyDescent="0.25">
      <c r="A75" s="9"/>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3.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3.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3.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3.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3.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3.5" customHeight="1" spans="1:30" x14ac:dyDescent="0.25">
      <c r="A81" s="9"/>
      <c r="B81" s="8"/>
      <c r="C81" s="8"/>
      <c r="D81" s="8"/>
      <c r="E81" s="8"/>
      <c r="F81" s="8"/>
      <c r="G81" s="8"/>
      <c r="I81" s="8"/>
      <c r="J81" s="8"/>
      <c r="K81" s="8"/>
      <c r="L81" s="8"/>
      <c r="M81" s="8"/>
      <c r="N81" s="8"/>
      <c r="O81" s="8"/>
      <c r="P81" s="8"/>
      <c r="Q81" s="8"/>
      <c r="R81" s="8"/>
      <c r="S81" s="8"/>
      <c r="T81" s="8"/>
      <c r="U81" s="8"/>
      <c r="V81" s="8"/>
      <c r="W81" s="8"/>
      <c r="X81" s="8"/>
      <c r="Y81" s="8"/>
      <c r="Z81" s="8"/>
      <c r="AA81" s="8"/>
      <c r="AB81" s="8"/>
      <c r="AC81" s="8"/>
      <c r="AD81" s="8"/>
    </row>
    <row r="82" ht="13.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3.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3.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3.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3.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3.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3.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906" t="str">
        <f>Last_FQR</f>
        <v>4Q</v>
      </c>
      <c r="S88" s="8"/>
      <c r="T88" s="8"/>
      <c r="U88" s="8"/>
      <c r="V88" s="8"/>
      <c r="W88" s="8"/>
      <c r="X88" s="8"/>
      <c r="Y88" s="8"/>
      <c r="Z88" s="8"/>
      <c r="AA88" s="8"/>
      <c r="AB88" s="8"/>
      <c r="AC88" s="8"/>
      <c r="AD88" s="8"/>
    </row>
    <row r="89" ht="13.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3.5" customHeight="1" spans="1:30" x14ac:dyDescent="0.25">
      <c r="A90" s="9"/>
      <c r="B90" s="8"/>
      <c r="C90" s="182"/>
      <c r="D90" s="894">
        <f>E90-1</f>
        <v>2020</v>
      </c>
      <c r="E90" s="894">
        <f>F90-1</f>
        <v>2021</v>
      </c>
      <c r="F90" s="894">
        <f>G90-1</f>
        <v>2022</v>
      </c>
      <c r="G90" s="894">
        <f>H90-1</f>
        <v>2023</v>
      </c>
      <c r="H90" s="894">
        <f t="shared" ref="H90:M90" si="5">D70</f>
        <v>2024</v>
      </c>
      <c r="I90" s="894" t="str">
        <f t="shared" si="5"/>
        <v>2025e</v>
      </c>
      <c r="J90" s="894" t="str">
        <f t="shared" si="5"/>
        <v>2026e</v>
      </c>
      <c r="K90" s="894" t="str">
        <f t="shared" si="5"/>
        <v>2027e</v>
      </c>
      <c r="L90" s="894" t="str">
        <f t="shared" si="5"/>
        <v>2028e</v>
      </c>
      <c r="M90" s="894" t="str">
        <f t="shared" si="5"/>
        <v>2029e</v>
      </c>
      <c r="N90" s="894" t="str">
        <f>H90&amp;" YTD"</f>
        <v>2024 YTD</v>
      </c>
      <c r="O90" s="894" t="str">
        <f>J90&amp;" YTD"</f>
        <v>2026e YTD</v>
      </c>
      <c r="P90" s="894" t="str">
        <f>LEFT(G70,4)&amp;" YTD"</f>
        <v>2027 YTD</v>
      </c>
      <c r="Q90" s="895" t="str">
        <f>LEFT(H70,4)&amp;" YTD"</f>
        <v>2028 YTD</v>
      </c>
      <c r="R90" s="8"/>
      <c r="S90" s="8"/>
      <c r="T90" s="8"/>
      <c r="U90" s="8"/>
      <c r="V90" s="8"/>
      <c r="W90" s="8"/>
      <c r="X90" s="8"/>
      <c r="Y90" s="8"/>
      <c r="Z90" s="8"/>
      <c r="AA90" s="8"/>
      <c r="AB90" s="8"/>
      <c r="AC90" s="8"/>
      <c r="AD90" s="8"/>
    </row>
    <row r="91" ht="13.5" customHeight="1" spans="1:30" x14ac:dyDescent="0.25">
      <c r="A91" s="9"/>
      <c r="B91" s="8"/>
      <c r="C91" s="902" t="str">
        <f>C88</f>
        <v>Total Company Revenue</v>
      </c>
      <c r="D91" s="907">
        <v>15784</v>
      </c>
      <c r="E91" s="907">
        <v>14383</v>
      </c>
      <c r="F91" s="907">
        <v>14461</v>
      </c>
      <c r="G91" s="907">
        <v>18344</v>
      </c>
      <c r="H91" s="889">
        <f t="array" ref="H91">INDEX(Revenue_Data_Summary,MATCH($C91,'Revenue Build'!$C$28:$C$49,0),MATCH(Charts!H$90,'Revenue Build'!$C$28:$AG$28,0))</f>
        <v>16031.900000000001</v>
      </c>
      <c r="I91" s="889" t="e">
        <f t="array" ref="I91">INDEX(Revenue_Data_Summary,MATCH($C91,'Revenue Build'!$C$28:$C$49,0),MATCH(Charts!I$90,'Revenue Build'!$C$28:$AG$28,0))</f>
        <v>#N/A</v>
      </c>
      <c r="J91" s="889">
        <f t="array" ref="J91">INDEX(Revenue_Data_Summary,MATCH($C91,'Revenue Build'!$C$28:$C$49,0),MATCH(Charts!J$90,'Revenue Build'!$C$28:$AG$28,0))</f>
        <v>17200.813000000002</v>
      </c>
      <c r="K91" s="889">
        <f t="array" ref="K91">INDEX(Revenue_Data_Summary,MATCH($C91,'Revenue Build'!$C$28:$C$49,0),MATCH(Charts!K$90,'Revenue Build'!$C$28:$AG$28,0))</f>
        <v>18048.662666999997</v>
      </c>
      <c r="L91" s="889">
        <f t="array" ref="L91">INDEX(Revenue_Data_Summary,MATCH($C91,'Revenue Build'!$C$28:$C$49,0),MATCH(Charts!L$90,'Revenue Build'!$C$28:$AG$28,0))</f>
        <v>18921.749183770997</v>
      </c>
      <c r="M91" s="889">
        <f t="array" ref="M91">INDEX(Revenue_Data_Summary,MATCH($C91,'Revenue Build'!$C$28:$C$49,0),MATCH(Charts!M$90,'Revenue Build'!$C$28:$AG$28,0))</f>
        <v>19882.732929281065</v>
      </c>
      <c r="N91" s="889">
        <f>IF(Charts!$R$88="1Q",SUM('Revenue Build'!K30),IF(Charts!$R$88="2Q",SUM('Revenue Build'!K30:L30),IF(Charts!$R$88="3Q",SUM('Revenue Build'!K30:M30),IF(Charts!$R$88="4Q",SUM('Revenue Build'!K30:N30),"N/A"))))</f>
        <v>16031.900000000001</v>
      </c>
      <c r="O91" s="889">
        <f>IF(Charts!$R$88="1Q",SUM('Revenue Build'!P30),IF(Charts!$R$88="2Q",SUM('Revenue Build'!P30:Q30),IF(Charts!$R$88="3Q",SUM('Revenue Build'!P30:R30),IF(Charts!$R$88="4Q",SUM('Revenue Build'!P30:S30),"N/A"))))</f>
        <v>16592</v>
      </c>
      <c r="P91" s="889">
        <f>IF(Charts!$R$88="1Q",SUM('Revenue Build'!U30),IF(Charts!$R$88="2Q",SUM('Revenue Build'!U30:V30),IF(Charts!$R$88="3Q",SUM('Revenue Build'!U30:W30),IF(Charts!$R$88="4Q",SUM('Revenue Build'!U30:X30),"N/A"))))</f>
        <v>17200.813000000002</v>
      </c>
      <c r="Q91" s="889">
        <f>IF(Charts!$R$88="1Q",SUM('Revenue Build'!V30),IF(Charts!$R$88="2Q",SUM('Revenue Build'!V30:W30),IF(Charts!$R$88="3Q",SUM('Revenue Build'!V30:X30),IF(Charts!$R$88="4Q",SUM('Revenue Build'!V30:Y30),"N/A"))))</f>
        <v>30248.995000000003</v>
      </c>
      <c r="R91" s="889"/>
      <c r="S91" s="8"/>
      <c r="T91" s="889"/>
      <c r="U91" s="8"/>
      <c r="V91" s="8"/>
      <c r="W91" s="889"/>
      <c r="X91" s="889"/>
      <c r="Y91" s="8"/>
      <c r="Z91" s="8"/>
      <c r="AA91" s="8"/>
      <c r="AB91" s="8"/>
      <c r="AC91" s="8"/>
      <c r="AD91" s="889"/>
    </row>
    <row r="92" ht="13.5" customHeight="1" spans="1:30" x14ac:dyDescent="0.25">
      <c r="A92" s="9"/>
      <c r="B92" s="8"/>
      <c r="C92" s="900" t="s">
        <v>1021</v>
      </c>
      <c r="D92" s="903"/>
      <c r="E92" s="904">
        <f t="shared" ref="E92:M92" si="6">E91/D91-1</f>
        <v>-0.08876077040040542</v>
      </c>
      <c r="F92" s="904">
        <f t="shared" si="6"/>
        <v>0.005423068900785699</v>
      </c>
      <c r="G92" s="904">
        <f t="shared" si="6"/>
        <v>0.2685153170596777</v>
      </c>
      <c r="H92" s="904">
        <f t="shared" si="6"/>
        <v>-0.12604121238552102</v>
      </c>
      <c r="I92" s="904" t="e">
        <f t="shared" si="6"/>
        <v>#N/A</v>
      </c>
      <c r="J92" s="904" t="e">
        <f t="shared" si="6"/>
        <v>#N/A</v>
      </c>
      <c r="K92" s="904">
        <f t="shared" si="6"/>
        <v>0.049291255419147584</v>
      </c>
      <c r="L92" s="904">
        <f t="shared" si="6"/>
        <v>0.0483740281969669</v>
      </c>
      <c r="M92" s="904">
        <f t="shared" si="6"/>
        <v>0.050787257360661586</v>
      </c>
      <c r="N92" s="904">
        <v>0.175</v>
      </c>
      <c r="O92" s="904">
        <f>O91/N91-1</f>
        <v>0.03493659516339287</v>
      </c>
      <c r="P92" s="904">
        <f>P91/O91-1</f>
        <v>0.03669316538090661</v>
      </c>
      <c r="Q92" s="904">
        <f>Q91/P91-1</f>
        <v>0.7585793764515665</v>
      </c>
      <c r="R92" s="8"/>
      <c r="S92" s="8"/>
      <c r="T92" s="8"/>
      <c r="U92" s="8"/>
      <c r="V92" s="8"/>
      <c r="W92" s="8"/>
      <c r="X92" s="8"/>
      <c r="Y92" s="8"/>
      <c r="Z92" s="8"/>
      <c r="AA92" s="8"/>
      <c r="AB92" s="8"/>
      <c r="AC92" s="8"/>
      <c r="AD92" s="8"/>
    </row>
    <row r="93" ht="13.5" customHeight="1" spans="1:30" x14ac:dyDescent="0.25">
      <c r="A93" s="9"/>
      <c r="B93" s="8"/>
      <c r="C93" s="8"/>
      <c r="D93" s="903"/>
      <c r="E93" s="904"/>
      <c r="F93" s="904"/>
      <c r="G93" s="904"/>
      <c r="H93" s="904"/>
      <c r="I93" s="904"/>
      <c r="J93" s="904"/>
      <c r="K93" s="904"/>
      <c r="L93" s="904"/>
      <c r="M93" s="903"/>
      <c r="N93" s="904"/>
      <c r="O93" s="904"/>
      <c r="P93" s="904"/>
      <c r="Q93" s="8"/>
      <c r="R93" s="8"/>
      <c r="S93" s="8"/>
      <c r="T93" s="8"/>
      <c r="U93" s="8"/>
      <c r="V93" s="8"/>
      <c r="W93" s="8"/>
      <c r="X93" s="8"/>
      <c r="Y93" s="8"/>
      <c r="Z93" s="8"/>
      <c r="AA93" s="8"/>
      <c r="AB93" s="8"/>
      <c r="AC93" s="8"/>
      <c r="AD93" s="8"/>
    </row>
    <row r="94" ht="13.5" customHeight="1" spans="1:30" x14ac:dyDescent="0.25">
      <c r="A94" s="9"/>
      <c r="B94" s="8"/>
      <c r="C94" s="8"/>
      <c r="D94" s="903"/>
      <c r="E94" s="904"/>
      <c r="F94" s="904"/>
      <c r="G94" s="904"/>
      <c r="H94" s="904"/>
      <c r="I94" s="904"/>
      <c r="J94" s="904"/>
      <c r="K94" s="904"/>
      <c r="L94" s="904"/>
      <c r="M94" s="903"/>
      <c r="N94" s="904"/>
      <c r="O94" s="904"/>
      <c r="P94" s="904"/>
      <c r="Q94" s="8"/>
      <c r="R94" s="8"/>
      <c r="S94" s="8"/>
      <c r="T94" s="8"/>
      <c r="U94" s="8"/>
      <c r="V94" s="8"/>
      <c r="W94" s="8"/>
      <c r="X94" s="8"/>
      <c r="Y94" s="8"/>
      <c r="Z94" s="8"/>
      <c r="AA94" s="8"/>
      <c r="AB94" s="8"/>
      <c r="AC94" s="8"/>
      <c r="AD94" s="8"/>
    </row>
    <row r="95" ht="13.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3.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3.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3.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3.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3.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3.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3.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3.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3.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3.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3.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3.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3.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3.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3.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3.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3.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3.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3.5" customHeight="1" spans="1:30" x14ac:dyDescent="0.25">
      <c r="A114" s="9" t="s">
        <v>3</v>
      </c>
      <c r="B114" s="8"/>
      <c r="C114" s="101" t="s">
        <v>1022</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3.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3.5" customHeight="1" spans="1:30" x14ac:dyDescent="0.25">
      <c r="A116" s="9"/>
      <c r="B116" s="8"/>
      <c r="C116" s="182"/>
      <c r="D116" s="908" t="str">
        <f>'Segment Analysis'!$C$17</f>
        <v>Collection</v>
      </c>
      <c r="E116" s="908" t="str">
        <f>'Segment Analysis'!$C$18</f>
        <v>Landfill</v>
      </c>
      <c r="G116" s="908" t="str">
        <f>'Segment Analysis'!$C$19</f>
        <v>Environmental solutions</v>
      </c>
      <c r="K116" s="8"/>
      <c r="L116" s="8"/>
      <c r="M116" s="8"/>
      <c r="N116" s="8"/>
      <c r="O116" s="8"/>
      <c r="P116" s="8"/>
      <c r="Q116" s="8"/>
      <c r="R116" s="8"/>
      <c r="S116" s="8"/>
      <c r="T116" s="8"/>
      <c r="U116" s="8"/>
      <c r="V116" s="8"/>
      <c r="W116" s="8"/>
      <c r="X116" s="8"/>
      <c r="Y116" s="8"/>
      <c r="Z116" s="8"/>
      <c r="AA116" s="8"/>
      <c r="AB116" s="8"/>
      <c r="AC116" s="8"/>
      <c r="AD116" s="8"/>
    </row>
    <row r="117" ht="13.5" customHeight="1" spans="1:30" x14ac:dyDescent="0.25">
      <c r="A117" s="9"/>
      <c r="B117" s="8"/>
      <c r="C117" s="900" t="s">
        <v>1023</v>
      </c>
      <c r="D117" s="909">
        <f>'Segment Analysis'!$T$17</f>
        <v>0.6770130183220829</v>
      </c>
      <c r="E117" s="910">
        <f>'Segment Analysis'!$T$18</f>
        <v>0.11571841851494696</v>
      </c>
      <c r="F117" s="910"/>
      <c r="G117" s="910">
        <f>'Segment Analysis'!$T$19</f>
        <v>0.10643683702989393</v>
      </c>
      <c r="H117" s="910"/>
      <c r="I117" s="910"/>
      <c r="J117" s="160" t="s">
        <v>1024</v>
      </c>
      <c r="K117" s="911">
        <f>SUM(D117:I117)</f>
        <v>0.8991682738669239</v>
      </c>
      <c r="L117" s="8" t="s">
        <v>1025</v>
      </c>
      <c r="M117" s="8"/>
      <c r="N117" s="8"/>
      <c r="O117" s="8"/>
      <c r="P117" s="8"/>
      <c r="Q117" s="8"/>
      <c r="R117" s="8"/>
      <c r="S117" s="8"/>
      <c r="T117" s="8"/>
      <c r="U117" s="8"/>
      <c r="V117" s="8"/>
      <c r="W117" s="8"/>
      <c r="X117" s="8"/>
      <c r="Y117" s="8"/>
      <c r="Z117" s="8"/>
      <c r="AA117" s="8"/>
      <c r="AB117" s="8"/>
      <c r="AC117" s="8"/>
      <c r="AD117" s="8"/>
    </row>
    <row r="118" ht="13.5" customHeight="1" spans="1:30" x14ac:dyDescent="0.25">
      <c r="A118" s="9"/>
      <c r="B118" s="8"/>
      <c r="C118" s="8"/>
      <c r="D118" s="8"/>
      <c r="E118" s="8"/>
      <c r="F118" s="206"/>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3.5" customHeight="1" spans="1:30" x14ac:dyDescent="0.25">
      <c r="A119" s="9"/>
      <c r="B119" s="8"/>
      <c r="C119" s="8"/>
      <c r="D119" s="8"/>
      <c r="E119" s="8"/>
      <c r="F119" s="8"/>
      <c r="G119" s="8"/>
      <c r="H119" s="8"/>
      <c r="I119" s="8"/>
      <c r="J119" s="8"/>
      <c r="K119" s="8"/>
      <c r="L119" s="8"/>
      <c r="M119" s="8"/>
      <c r="N119" s="8"/>
      <c r="O119" s="8"/>
      <c r="P119" s="8"/>
      <c r="Q119" s="8"/>
      <c r="R119" s="912"/>
      <c r="S119" s="912"/>
      <c r="T119" s="912"/>
      <c r="U119" s="912"/>
      <c r="V119" s="912"/>
      <c r="W119" s="912"/>
      <c r="X119" s="8"/>
      <c r="Y119" s="8"/>
      <c r="Z119" s="8"/>
      <c r="AA119" s="8"/>
      <c r="AB119" s="8"/>
      <c r="AC119" s="8"/>
      <c r="AD119" s="8"/>
    </row>
    <row r="120" ht="13.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3.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3.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3.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3.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3.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3.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3.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3.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3.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3.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3.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3.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3.5" customHeight="1" spans="1:30" x14ac:dyDescent="0.25">
      <c r="A133" s="9" t="s">
        <v>3</v>
      </c>
      <c r="B133" s="8"/>
      <c r="C133" s="101" t="str">
        <f>Ticker&amp;" - Debt Distribution"</f>
        <v>RSG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3.5" customHeight="1" spans="1:30" x14ac:dyDescent="0.25">
      <c r="A134" s="9"/>
      <c r="B134" s="8"/>
      <c r="C134" s="40"/>
      <c r="D134" s="191"/>
      <c r="E134" s="191"/>
      <c r="F134" s="191"/>
      <c r="G134" s="191"/>
      <c r="H134" s="191"/>
      <c r="I134" s="191"/>
      <c r="J134" s="191"/>
      <c r="K134" s="191"/>
      <c r="L134" s="191"/>
      <c r="M134" s="191"/>
      <c r="N134" s="191"/>
      <c r="O134" s="191"/>
      <c r="P134" s="191"/>
      <c r="Q134" s="191"/>
      <c r="R134" s="8"/>
      <c r="S134" s="8"/>
      <c r="T134" s="8"/>
      <c r="U134" s="8"/>
      <c r="V134" s="8"/>
      <c r="W134" s="8"/>
      <c r="X134" s="8"/>
      <c r="Y134" s="8"/>
      <c r="Z134" s="8"/>
      <c r="AA134" s="8"/>
      <c r="AB134" s="8"/>
      <c r="AC134" s="8"/>
      <c r="AD134" s="8"/>
    </row>
    <row r="135" ht="13.5" customHeight="1" spans="1:30" x14ac:dyDescent="0.25">
      <c r="A135" s="9"/>
      <c r="B135" s="8"/>
      <c r="C135" s="182"/>
      <c r="D135" s="913">
        <v>2026</v>
      </c>
      <c r="E135" s="914">
        <f t="shared" ref="E135:Q135" si="7">D135+1</f>
        <v>2027</v>
      </c>
      <c r="F135" s="914">
        <f t="shared" si="7"/>
        <v>2028</v>
      </c>
      <c r="G135" s="914">
        <f t="shared" si="7"/>
        <v>2029</v>
      </c>
      <c r="H135" s="914">
        <f t="shared" si="7"/>
        <v>2030</v>
      </c>
      <c r="I135" s="914">
        <f t="shared" si="7"/>
        <v>2031</v>
      </c>
      <c r="J135" s="914">
        <f t="shared" si="7"/>
        <v>2032</v>
      </c>
      <c r="K135" s="914">
        <f t="shared" si="7"/>
        <v>2033</v>
      </c>
      <c r="L135" s="914">
        <f t="shared" si="7"/>
        <v>2034</v>
      </c>
      <c r="M135" s="914">
        <f t="shared" si="7"/>
        <v>2035</v>
      </c>
      <c r="N135" s="914">
        <f t="shared" si="7"/>
        <v>2036</v>
      </c>
      <c r="O135" s="914">
        <f t="shared" si="7"/>
        <v>2037</v>
      </c>
      <c r="P135" s="914">
        <f t="shared" si="7"/>
        <v>2038</v>
      </c>
      <c r="Q135" s="915">
        <f t="shared" si="7"/>
        <v>2039</v>
      </c>
      <c r="R135" s="916"/>
      <c r="S135" s="916"/>
      <c r="T135" s="916"/>
      <c r="U135" s="916"/>
      <c r="V135" s="916"/>
      <c r="W135" s="916"/>
      <c r="X135" s="8"/>
      <c r="Y135" s="8"/>
      <c r="Z135" s="8"/>
      <c r="AA135" s="8"/>
      <c r="AB135" s="8"/>
      <c r="AC135" s="8"/>
      <c r="AD135" s="8"/>
    </row>
    <row r="136" ht="13.5" customHeight="1" spans="1:30" x14ac:dyDescent="0.25">
      <c r="A136" s="9"/>
      <c r="B136" s="8"/>
      <c r="C136" s="897" t="s">
        <v>1026</v>
      </c>
      <c r="D136" s="907">
        <v>0</v>
      </c>
      <c r="E136" s="907">
        <v>0</v>
      </c>
      <c r="F136" s="907">
        <v>0</v>
      </c>
      <c r="G136" s="907">
        <v>0</v>
      </c>
      <c r="H136" s="907">
        <v>0</v>
      </c>
      <c r="I136" s="907">
        <v>0</v>
      </c>
      <c r="J136" s="907">
        <v>0</v>
      </c>
      <c r="K136" s="907">
        <v>0</v>
      </c>
      <c r="L136" s="907">
        <v>0</v>
      </c>
      <c r="M136" s="907">
        <v>0</v>
      </c>
      <c r="N136" s="907">
        <v>0</v>
      </c>
      <c r="O136" s="907">
        <v>0</v>
      </c>
      <c r="P136" s="907">
        <v>0</v>
      </c>
      <c r="Q136" s="907">
        <v>0</v>
      </c>
      <c r="R136" s="912"/>
      <c r="S136" s="912"/>
      <c r="T136" s="912"/>
      <c r="U136" s="912"/>
      <c r="V136" s="912"/>
      <c r="W136" s="912"/>
      <c r="X136" s="8"/>
      <c r="Y136" s="8"/>
      <c r="Z136" s="8"/>
      <c r="AA136" s="8"/>
      <c r="AB136" s="8"/>
      <c r="AC136" s="8"/>
      <c r="AD136" s="8"/>
    </row>
    <row r="137" ht="13.5" customHeight="1" spans="1:30" x14ac:dyDescent="0.25">
      <c r="A137" s="9"/>
      <c r="B137" s="8"/>
      <c r="C137" s="897" t="s">
        <v>1027</v>
      </c>
      <c r="D137" s="907">
        <v>0</v>
      </c>
      <c r="E137" s="907">
        <v>0</v>
      </c>
      <c r="F137" s="907">
        <v>0</v>
      </c>
      <c r="G137" s="907">
        <v>0</v>
      </c>
      <c r="H137" s="907">
        <v>0</v>
      </c>
      <c r="I137" s="907">
        <v>0</v>
      </c>
      <c r="J137" s="907">
        <v>0</v>
      </c>
      <c r="K137" s="907">
        <v>0</v>
      </c>
      <c r="L137" s="907">
        <v>0</v>
      </c>
      <c r="M137" s="907">
        <v>0</v>
      </c>
      <c r="N137" s="907">
        <v>0</v>
      </c>
      <c r="O137" s="907">
        <v>0</v>
      </c>
      <c r="P137" s="907">
        <v>0</v>
      </c>
      <c r="Q137" s="907">
        <v>0</v>
      </c>
      <c r="R137" s="912"/>
      <c r="S137" s="912"/>
      <c r="T137" s="912"/>
      <c r="U137" s="912"/>
      <c r="V137" s="912"/>
      <c r="W137" s="912"/>
      <c r="X137" s="8"/>
      <c r="Y137" s="8"/>
      <c r="Z137" s="8"/>
      <c r="AA137" s="8"/>
      <c r="AB137" s="8"/>
      <c r="AC137" s="8"/>
      <c r="AD137" s="8"/>
    </row>
    <row r="138" ht="13.5" customHeight="1" spans="1:30" x14ac:dyDescent="0.25">
      <c r="A138" s="9"/>
      <c r="B138" s="8"/>
      <c r="C138" s="900" t="s">
        <v>1028</v>
      </c>
      <c r="D138" s="907">
        <v>500</v>
      </c>
      <c r="E138" s="907">
        <v>1150</v>
      </c>
      <c r="F138" s="907">
        <v>700</v>
      </c>
      <c r="G138" s="907">
        <v>1400</v>
      </c>
      <c r="H138" s="907">
        <v>1300</v>
      </c>
      <c r="I138" s="907">
        <v>500</v>
      </c>
      <c r="J138" s="907">
        <v>400</v>
      </c>
      <c r="K138" s="907">
        <v>950</v>
      </c>
      <c r="L138" s="907">
        <v>600</v>
      </c>
      <c r="M138" s="907">
        <v>750</v>
      </c>
      <c r="N138" s="907">
        <v>0</v>
      </c>
      <c r="O138" s="907">
        <v>0</v>
      </c>
      <c r="P138" s="907">
        <v>0</v>
      </c>
      <c r="Q138" s="907">
        <v>750</v>
      </c>
      <c r="R138" s="8"/>
      <c r="S138" s="8"/>
      <c r="T138" s="8"/>
      <c r="U138" s="8"/>
      <c r="V138" s="8"/>
      <c r="W138" s="8"/>
      <c r="X138" s="8"/>
      <c r="Y138" s="8"/>
      <c r="Z138" s="8"/>
      <c r="AA138" s="8"/>
      <c r="AB138" s="8"/>
      <c r="AC138" s="8"/>
      <c r="AD138" s="8"/>
    </row>
    <row r="139" ht="13.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3.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3.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3.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3.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3.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3.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3.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3.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3.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3.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3.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3.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3.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3.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3.5" customHeight="1" hidden="1" spans="1:30" x14ac:dyDescent="0.25">
      <c r="A154" s="9" t="s">
        <v>3</v>
      </c>
      <c r="B154" s="8"/>
      <c r="C154" s="101" t="s">
        <v>1029</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3.5" customHeight="1" hidden="1" spans="1:30" x14ac:dyDescent="0.25">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3.5" customHeight="1" hidden="1" spans="1:30" x14ac:dyDescent="0.25">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3.5" customHeight="1" hidden="1" spans="1:30" x14ac:dyDescent="0.25">
      <c r="A157" s="9"/>
      <c r="B157" s="8"/>
      <c r="C157" s="101" t="s">
        <v>1030</v>
      </c>
      <c r="D157" s="101"/>
      <c r="E157" s="101"/>
      <c r="F157" s="101"/>
      <c r="G157" s="101"/>
      <c r="H157" s="101"/>
      <c r="I157" s="101"/>
      <c r="J157" s="8"/>
      <c r="K157" s="101" t="s">
        <v>1031</v>
      </c>
      <c r="L157" s="101"/>
      <c r="M157" s="101"/>
      <c r="N157" s="101"/>
      <c r="O157" s="101"/>
      <c r="P157" s="101"/>
      <c r="Q157" s="101"/>
      <c r="R157" s="8"/>
      <c r="S157" s="8"/>
      <c r="T157" s="8"/>
      <c r="U157" s="8"/>
      <c r="V157" s="8"/>
      <c r="W157" s="8"/>
      <c r="X157" s="8"/>
      <c r="Y157" s="8"/>
      <c r="Z157" s="8"/>
      <c r="AA157" s="8"/>
      <c r="AB157" s="8"/>
      <c r="AC157" s="8"/>
      <c r="AD157" s="8"/>
    </row>
    <row r="158" ht="13.5" customHeight="1" hidden="1" spans="1:30" x14ac:dyDescent="0.25">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3.5" customHeight="1" hidden="1" spans="1:30" x14ac:dyDescent="0.25">
      <c r="A159" s="9"/>
      <c r="B159" s="8"/>
      <c r="C159" s="182"/>
      <c r="D159" s="917">
        <v>42735</v>
      </c>
      <c r="E159" s="918">
        <f>EDATE(D159,12)</f>
        <v>43100</v>
      </c>
      <c r="F159" s="918">
        <f>EDATE(E159,12)</f>
        <v>43465</v>
      </c>
      <c r="G159" s="918">
        <f>EDATE(F159,12)</f>
        <v>43830</v>
      </c>
      <c r="H159" s="918">
        <f>EDATE(G159,12)</f>
        <v>44196</v>
      </c>
      <c r="I159" s="919">
        <f>EDATE(H159,12)</f>
        <v>44561</v>
      </c>
      <c r="J159" s="8"/>
      <c r="K159" s="182" t="s">
        <v>1032</v>
      </c>
      <c r="L159" s="917">
        <v>41639</v>
      </c>
      <c r="M159" s="918">
        <f>EDATE(L159,12)</f>
        <v>42004</v>
      </c>
      <c r="N159" s="918">
        <f>EDATE(M159,12)</f>
        <v>42369</v>
      </c>
      <c r="O159" s="918">
        <f>EDATE(N159,12)</f>
        <v>42735</v>
      </c>
      <c r="P159" s="918">
        <f>EDATE(O159,12)</f>
        <v>43100</v>
      </c>
      <c r="Q159" s="919">
        <f>EDATE(P159,12)</f>
        <v>43465</v>
      </c>
      <c r="R159" s="8"/>
      <c r="S159" s="8"/>
      <c r="T159" s="8"/>
      <c r="U159" s="8"/>
      <c r="V159" s="8"/>
      <c r="W159" s="8"/>
      <c r="X159" s="8"/>
      <c r="Y159" s="8"/>
      <c r="Z159" s="8"/>
      <c r="AA159" s="8"/>
      <c r="AB159" s="8"/>
      <c r="AC159" s="8"/>
      <c r="AD159" s="8"/>
    </row>
    <row r="160" ht="13.5" customHeight="1" hidden="1" spans="1:30" x14ac:dyDescent="0.25">
      <c r="A160" s="9"/>
      <c r="B160" s="8"/>
      <c r="C160" s="900" t="s">
        <v>1033</v>
      </c>
      <c r="D160" s="907">
        <v>380</v>
      </c>
      <c r="E160" s="907">
        <v>400</v>
      </c>
      <c r="F160" s="907">
        <v>420</v>
      </c>
      <c r="G160" s="907">
        <v>460</v>
      </c>
      <c r="H160" s="907">
        <v>480</v>
      </c>
      <c r="I160" s="907">
        <v>490</v>
      </c>
      <c r="J160" s="8"/>
      <c r="K160" s="900" t="s">
        <v>1034</v>
      </c>
      <c r="L160" s="903">
        <v>0.1</v>
      </c>
      <c r="M160" s="903">
        <v>0.11</v>
      </c>
      <c r="N160" s="903">
        <v>0.12</v>
      </c>
      <c r="O160" s="903">
        <v>0.13</v>
      </c>
      <c r="P160" s="903">
        <v>0.14</v>
      </c>
      <c r="Q160" s="903">
        <v>0.15</v>
      </c>
      <c r="R160" s="8"/>
      <c r="S160" s="8"/>
      <c r="T160" s="8"/>
      <c r="U160" s="8"/>
      <c r="V160" s="8"/>
      <c r="W160" s="8"/>
      <c r="X160" s="8"/>
      <c r="Y160" s="8"/>
      <c r="Z160" s="8"/>
      <c r="AA160" s="8"/>
      <c r="AB160" s="8"/>
      <c r="AC160" s="8"/>
      <c r="AD160" s="8"/>
    </row>
    <row r="161" ht="13.5" customHeight="1" hidden="1" spans="1:30" x14ac:dyDescent="0.25">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3.5" customHeight="1" hidden="1" spans="1:30" x14ac:dyDescent="0.25">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3.5" customHeight="1" hidden="1" spans="1:30" x14ac:dyDescent="0.25">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3.5" customHeight="1" hidden="1" spans="1:30" x14ac:dyDescent="0.25">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3.5" customHeight="1" hidden="1" spans="1:30" x14ac:dyDescent="0.25">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3.5" customHeight="1" hidden="1" spans="1:30" x14ac:dyDescent="0.25">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3.5" customHeight="1" hidden="1" spans="1:30" x14ac:dyDescent="0.25">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3.5" customHeight="1" hidden="1" spans="1:30" x14ac:dyDescent="0.25">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3.5" customHeight="1" hidden="1" spans="1:30" x14ac:dyDescent="0.25">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3.5" customHeight="1" hidden="1" spans="1:30" x14ac:dyDescent="0.25">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3.5" customHeight="1" hidden="1" spans="1:30" x14ac:dyDescent="0.25">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3.5" customHeight="1" hidden="1" spans="1:30" x14ac:dyDescent="0.25">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3.5" customHeight="1" hidden="1" spans="1:30" x14ac:dyDescent="0.25">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3.5" customHeight="1" hidden="1" spans="1:30" x14ac:dyDescent="0.25">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3.5" customHeight="1" hidden="1" spans="1:30" x14ac:dyDescent="0.25">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3.5" customHeight="1" spans="1:30" x14ac:dyDescent="0.25">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3.5" customHeight="1" spans="1:30" x14ac:dyDescent="0.25">
      <c r="A177" s="9" t="s">
        <v>3</v>
      </c>
      <c r="B177" s="8"/>
      <c r="C177" s="101" t="str">
        <f>Ticker&amp;" - One Year Stock Price Performance"</f>
        <v>RSG - One Year Stock Price Performance</v>
      </c>
      <c r="D177" s="102"/>
      <c r="E177" s="102"/>
      <c r="F177" s="102"/>
      <c r="G177" s="102"/>
      <c r="H177" s="102"/>
      <c r="I177" s="102"/>
      <c r="J177" s="102"/>
      <c r="K177" s="102"/>
      <c r="L177" s="102"/>
      <c r="M177" s="102"/>
      <c r="N177" s="102"/>
      <c r="O177" s="102"/>
      <c r="P177" s="102"/>
      <c r="Q177" s="102"/>
      <c r="R177" s="8"/>
      <c r="S177" s="8"/>
      <c r="T177" s="8"/>
      <c r="U177" s="8"/>
      <c r="V177" s="8"/>
      <c r="W177" s="8"/>
      <c r="X177" s="8"/>
      <c r="Y177" s="8"/>
      <c r="Z177" s="8"/>
      <c r="AA177" s="8"/>
      <c r="AB177" s="8"/>
      <c r="AC177" s="8"/>
      <c r="AD177" s="8"/>
    </row>
    <row r="178" ht="13.5" customHeight="1" spans="1:30" x14ac:dyDescent="0.25">
      <c r="A178" s="9"/>
      <c r="B178" s="8"/>
      <c r="C178" s="8"/>
      <c r="D178" s="8"/>
      <c r="E178" s="8"/>
      <c r="F178" s="75" t="s">
        <v>1035</v>
      </c>
      <c r="G178" s="57"/>
      <c r="H178" s="57"/>
      <c r="I178" s="8"/>
      <c r="J178" s="8"/>
      <c r="K178" s="8"/>
      <c r="L178" s="8"/>
      <c r="M178" s="8"/>
      <c r="N178" s="8"/>
      <c r="O178" s="8"/>
      <c r="P178" s="8"/>
      <c r="T178" s="8"/>
      <c r="U178" s="8"/>
      <c r="V178" s="8"/>
      <c r="W178" s="8"/>
      <c r="X178" s="8"/>
      <c r="Y178" s="8"/>
      <c r="Z178" s="8"/>
      <c r="AA178" s="8"/>
      <c r="AB178" s="8"/>
      <c r="AC178" s="8"/>
      <c r="AD178" s="8"/>
    </row>
    <row r="179" ht="13.5" customHeight="1" spans="1:29" x14ac:dyDescent="0.25">
      <c r="A179" s="9"/>
      <c r="B179" s="8"/>
      <c r="C179" s="202" t="s">
        <v>179</v>
      </c>
      <c r="D179" s="202" t="s">
        <v>1036</v>
      </c>
      <c r="E179" s="202" t="s">
        <v>251</v>
      </c>
      <c r="F179" s="202" t="s">
        <v>250</v>
      </c>
      <c r="G179" s="202" t="s">
        <v>249</v>
      </c>
      <c r="H179" s="8"/>
      <c r="I179" s="8"/>
      <c r="J179" s="8"/>
      <c r="K179" s="8"/>
      <c r="L179" s="8"/>
      <c r="M179" s="232" t="s">
        <v>1037</v>
      </c>
      <c r="N179" s="233"/>
      <c r="O179" s="234"/>
      <c r="P179" s="8"/>
      <c r="T179" s="8"/>
      <c r="U179" s="8"/>
      <c r="V179" s="8"/>
      <c r="W179" s="8"/>
      <c r="X179" s="8"/>
      <c r="Y179" s="8"/>
      <c r="Z179" s="8"/>
      <c r="AA179" s="8"/>
      <c r="AB179" s="8"/>
      <c r="AC179" s="8"/>
    </row>
    <row r="180" ht="13.5" customHeight="1" spans="1:29" x14ac:dyDescent="0.25">
      <c r="A180" s="9"/>
      <c r="B180" s="8"/>
      <c r="C180" s="920">
        <f>EDATE(C181,18)</f>
        <v>46511</v>
      </c>
      <c r="D180" s="75"/>
      <c r="E180" s="460">
        <v>141</v>
      </c>
      <c r="F180" s="460">
        <v>188</v>
      </c>
      <c r="G180" s="460">
        <v>230</v>
      </c>
      <c r="H180" s="8"/>
      <c r="I180" s="8"/>
      <c r="J180" s="8"/>
      <c r="K180" s="8"/>
      <c r="L180" s="8"/>
      <c r="M180" s="75"/>
      <c r="N180" s="75"/>
      <c r="O180" s="75"/>
      <c r="P180" s="8"/>
      <c r="T180" s="8"/>
      <c r="U180" s="8"/>
      <c r="V180" s="8"/>
      <c r="W180" s="8"/>
      <c r="X180" s="8"/>
      <c r="Y180" s="8"/>
      <c r="Z180" s="8"/>
      <c r="AA180" s="8"/>
      <c r="AB180" s="8"/>
      <c r="AC180" s="8"/>
    </row>
    <row r="181" ht="13.5" customHeight="1" spans="1:29" x14ac:dyDescent="0.25">
      <c r="A181" s="9"/>
      <c r="B181" s="8"/>
      <c r="C181" s="921">
        <v>45965</v>
      </c>
      <c r="D181">
        <v>159.36</v>
      </c>
      <c r="E181" s="118">
        <f>$D$181</f>
        <v>159.36</v>
      </c>
      <c r="F181" s="118">
        <f>$D$181</f>
        <v>159.36</v>
      </c>
      <c r="G181" s="118">
        <f>$D$181</f>
        <v>159.36</v>
      </c>
      <c r="H181" s="8"/>
      <c r="I181" s="8"/>
      <c r="J181" s="8"/>
      <c r="K181" s="8"/>
      <c r="L181" s="8"/>
      <c r="M181" s="8"/>
      <c r="N181" s="8"/>
      <c r="O181" s="8"/>
      <c r="P181" s="8"/>
      <c r="T181" s="922">
        <v>45959</v>
      </c>
      <c r="U181" s="460">
        <v>160.259994506836</v>
      </c>
      <c r="V181" s="8"/>
      <c r="W181" s="8"/>
      <c r="X181" s="8"/>
      <c r="Y181" s="8"/>
      <c r="Z181" s="8"/>
      <c r="AA181" s="8"/>
      <c r="AB181" s="8"/>
      <c r="AC181" s="8"/>
    </row>
    <row r="182" ht="13.5" customHeight="1" spans="1:29" x14ac:dyDescent="0.25">
      <c r="A182" s="9"/>
      <c r="B182" s="8"/>
      <c r="C182" s="921">
        <v>45964</v>
      </c>
      <c r="D182">
        <v>161.46</v>
      </c>
      <c r="E182" s="118"/>
      <c r="F182" s="118"/>
      <c r="G182" s="118"/>
      <c r="H182" s="8"/>
      <c r="I182" s="8"/>
      <c r="J182" s="8"/>
      <c r="K182" s="8"/>
      <c r="L182" s="8"/>
      <c r="M182" s="8"/>
      <c r="N182" s="8"/>
      <c r="O182" s="8"/>
      <c r="P182" s="8"/>
      <c r="T182" s="922">
        <v>45958</v>
      </c>
      <c r="U182" s="460">
        <v>160.259994506836</v>
      </c>
      <c r="V182" s="8"/>
      <c r="W182" s="8"/>
      <c r="X182" s="8"/>
      <c r="Y182" s="8"/>
      <c r="Z182" s="8"/>
      <c r="AA182" s="8"/>
      <c r="AB182" s="8"/>
      <c r="AC182" s="8"/>
    </row>
    <row r="183" ht="13.5" customHeight="1" spans="1:29" x14ac:dyDescent="0.25">
      <c r="A183" s="9"/>
      <c r="B183" s="8"/>
      <c r="C183" s="921">
        <v>45961</v>
      </c>
      <c r="D183">
        <v>161.46</v>
      </c>
      <c r="E183" s="118"/>
      <c r="F183" s="118"/>
      <c r="G183" s="118"/>
      <c r="H183" s="8"/>
      <c r="I183" s="8"/>
      <c r="J183" s="8"/>
      <c r="K183" s="8"/>
      <c r="L183" s="8"/>
      <c r="M183" s="8"/>
      <c r="N183" s="8"/>
      <c r="O183" s="8"/>
      <c r="P183" s="8"/>
      <c r="T183" s="922">
        <v>45957</v>
      </c>
      <c r="U183" s="460">
        <v>160.259994506836</v>
      </c>
      <c r="V183" s="8"/>
      <c r="W183" s="8"/>
      <c r="X183" s="8"/>
      <c r="Y183" s="8"/>
      <c r="Z183" s="8"/>
      <c r="AA183" s="8"/>
      <c r="AB183" s="8"/>
      <c r="AC183" s="8"/>
    </row>
    <row r="184" ht="13.5" customHeight="1" spans="1:29" x14ac:dyDescent="0.25">
      <c r="A184" s="9"/>
      <c r="B184" s="8"/>
      <c r="C184" s="921">
        <v>45960</v>
      </c>
      <c r="D184">
        <v>160.51</v>
      </c>
      <c r="E184" s="118"/>
      <c r="F184" s="118"/>
      <c r="G184" s="118"/>
      <c r="H184" s="8"/>
      <c r="I184" s="8"/>
      <c r="J184" s="8"/>
      <c r="K184" s="8"/>
      <c r="L184" s="8"/>
      <c r="M184" s="8"/>
      <c r="N184" s="8"/>
      <c r="O184" s="8"/>
      <c r="P184" s="8"/>
      <c r="T184" s="922">
        <v>45954</v>
      </c>
      <c r="U184" s="923">
        <v>169.13</v>
      </c>
      <c r="V184" s="8"/>
      <c r="W184" s="8"/>
      <c r="X184" s="8"/>
      <c r="Y184" s="8"/>
      <c r="Z184" s="8"/>
      <c r="AA184" s="8"/>
      <c r="AB184" s="8"/>
      <c r="AC184" s="8"/>
    </row>
    <row r="185" ht="13.5" customHeight="1" spans="1:29" x14ac:dyDescent="0.25">
      <c r="A185" s="9"/>
      <c r="B185" s="8"/>
      <c r="C185" s="922">
        <v>45959</v>
      </c>
      <c r="D185" s="460">
        <v>160.259994506836</v>
      </c>
      <c r="E185" s="8"/>
      <c r="F185" s="8"/>
      <c r="G185" s="8"/>
      <c r="H185" s="8"/>
      <c r="I185" s="8"/>
      <c r="J185" s="8"/>
      <c r="K185" s="8"/>
      <c r="L185" s="8"/>
      <c r="M185" s="75"/>
      <c r="N185" s="202" t="s">
        <v>163</v>
      </c>
      <c r="O185" s="202" t="s">
        <v>253</v>
      </c>
      <c r="P185" s="8"/>
      <c r="T185" s="922">
        <v>45953</v>
      </c>
      <c r="U185" s="923">
        <v>172.19</v>
      </c>
      <c r="V185" s="8"/>
      <c r="W185" s="8"/>
      <c r="X185" s="8"/>
      <c r="Y185" s="8"/>
      <c r="Z185" s="8"/>
      <c r="AA185" s="8"/>
      <c r="AB185" s="8"/>
      <c r="AC185" s="8"/>
    </row>
    <row r="186" ht="13.5" customHeight="1" spans="1:29" x14ac:dyDescent="0.25">
      <c r="A186" s="9"/>
      <c r="B186" s="8"/>
      <c r="C186" s="922">
        <v>45958</v>
      </c>
      <c r="D186" s="460">
        <v>160.259994506836</v>
      </c>
      <c r="E186" s="8"/>
      <c r="F186" s="8"/>
      <c r="G186" s="8"/>
      <c r="H186" s="8"/>
      <c r="I186" s="8"/>
      <c r="J186" s="8"/>
      <c r="K186" s="8"/>
      <c r="L186" s="8"/>
      <c r="M186" s="181" t="s">
        <v>164</v>
      </c>
      <c r="N186" s="223">
        <f>MAX(D181:D450)*1.1</f>
        <v>243.37500000000003</v>
      </c>
      <c r="O186" s="127">
        <f>MAX(E437:E450)</f>
        <v>0</v>
      </c>
      <c r="P186" s="8"/>
      <c r="T186" s="922">
        <v>45952</v>
      </c>
      <c r="U186" s="923">
        <v>170.71</v>
      </c>
      <c r="V186" s="8"/>
      <c r="W186" s="8"/>
      <c r="X186" s="8"/>
      <c r="Y186" s="8"/>
      <c r="Z186" s="8"/>
      <c r="AA186" s="8"/>
      <c r="AB186" s="8"/>
      <c r="AC186" s="8"/>
    </row>
    <row r="187" ht="13.5" customHeight="1" spans="1:29" x14ac:dyDescent="0.25">
      <c r="A187" s="9"/>
      <c r="B187" s="8"/>
      <c r="C187" s="922">
        <v>45957</v>
      </c>
      <c r="D187" s="460">
        <v>160.259994506836</v>
      </c>
      <c r="E187" s="8"/>
      <c r="F187" s="8"/>
      <c r="G187" s="8"/>
      <c r="H187" s="8"/>
      <c r="I187" s="8"/>
      <c r="J187" s="8"/>
      <c r="K187" s="8"/>
      <c r="L187" s="8"/>
      <c r="M187" s="181" t="s">
        <v>165</v>
      </c>
      <c r="N187" s="223">
        <f>MIN(D181:D450)*0.9</f>
        <v>131.049</v>
      </c>
      <c r="O187" s="127">
        <f>MIN(E437:E450)*0.9</f>
        <v>0</v>
      </c>
      <c r="P187" s="8"/>
      <c r="T187" s="922">
        <v>45951</v>
      </c>
      <c r="U187" s="923">
        <v>180.84</v>
      </c>
      <c r="V187" s="8"/>
      <c r="W187" s="8"/>
      <c r="X187" s="8"/>
      <c r="Y187" s="8"/>
      <c r="Z187" s="8"/>
      <c r="AA187" s="8"/>
      <c r="AB187" s="8"/>
      <c r="AC187" s="8"/>
    </row>
    <row r="188" ht="13.5" customHeight="1" spans="1:29" x14ac:dyDescent="0.25">
      <c r="A188" s="9"/>
      <c r="B188" s="8"/>
      <c r="C188" s="922">
        <v>45954</v>
      </c>
      <c r="D188" s="923">
        <v>169.13</v>
      </c>
      <c r="E188" s="8"/>
      <c r="F188" s="8"/>
      <c r="G188" s="8"/>
      <c r="H188" s="8"/>
      <c r="I188" s="8"/>
      <c r="J188" s="8"/>
      <c r="K188" s="8"/>
      <c r="L188" s="8"/>
      <c r="M188" s="8"/>
      <c r="N188" s="8"/>
      <c r="O188" s="8"/>
      <c r="P188" s="8"/>
      <c r="T188" s="922">
        <v>45950</v>
      </c>
      <c r="U188" s="923">
        <v>179.585</v>
      </c>
      <c r="V188" s="8"/>
      <c r="W188" s="8"/>
      <c r="X188" s="8"/>
      <c r="Y188" s="8"/>
      <c r="Z188" s="8"/>
      <c r="AA188" s="8"/>
      <c r="AB188" s="8"/>
      <c r="AC188" s="8"/>
    </row>
    <row r="189" ht="13.5" customHeight="1" spans="1:29" x14ac:dyDescent="0.25">
      <c r="A189" s="9"/>
      <c r="B189" s="8"/>
      <c r="C189" s="922">
        <v>45953</v>
      </c>
      <c r="D189" s="923">
        <v>172.19</v>
      </c>
      <c r="E189" s="8"/>
      <c r="F189" s="8"/>
      <c r="G189" s="8"/>
      <c r="H189" s="8"/>
      <c r="I189" s="8"/>
      <c r="J189" s="8"/>
      <c r="K189" s="8"/>
      <c r="L189" s="8"/>
      <c r="M189" s="8"/>
      <c r="N189" s="8"/>
      <c r="O189" s="8"/>
      <c r="P189" s="8"/>
      <c r="T189" s="922">
        <v>45946</v>
      </c>
      <c r="U189" s="923">
        <v>175.48</v>
      </c>
      <c r="V189" s="8"/>
      <c r="W189" s="8"/>
      <c r="X189" s="8"/>
      <c r="Y189" s="8"/>
      <c r="Z189" s="8"/>
      <c r="AA189" s="8"/>
      <c r="AB189" s="8"/>
      <c r="AC189" s="8"/>
    </row>
    <row r="190" ht="13.5" customHeight="1" spans="1:29" x14ac:dyDescent="0.25">
      <c r="A190" s="9"/>
      <c r="B190" s="8"/>
      <c r="C190" s="922">
        <v>45952</v>
      </c>
      <c r="D190" s="923">
        <v>170.71</v>
      </c>
      <c r="E190" s="8"/>
      <c r="F190" s="8"/>
      <c r="G190" s="8"/>
      <c r="H190" s="8"/>
      <c r="I190" s="8"/>
      <c r="J190" s="8"/>
      <c r="K190" s="8"/>
      <c r="L190" s="8"/>
      <c r="M190" s="8"/>
      <c r="N190" s="8"/>
      <c r="O190" s="8"/>
      <c r="P190" s="8"/>
      <c r="T190" s="922">
        <v>45945</v>
      </c>
      <c r="U190" s="923">
        <v>175.27</v>
      </c>
      <c r="V190" s="8"/>
      <c r="W190" s="8"/>
      <c r="X190" s="8"/>
      <c r="Y190" s="8"/>
      <c r="Z190" s="8"/>
      <c r="AA190" s="8"/>
      <c r="AB190" s="8"/>
      <c r="AC190" s="8"/>
    </row>
    <row r="191" ht="13.5" customHeight="1" spans="1:29" x14ac:dyDescent="0.25">
      <c r="A191" s="9"/>
      <c r="B191" s="8"/>
      <c r="C191" s="922">
        <v>45951</v>
      </c>
      <c r="D191" s="923">
        <v>180.84</v>
      </c>
      <c r="E191" s="8"/>
      <c r="F191" s="8"/>
      <c r="G191" s="8"/>
      <c r="H191" s="8"/>
      <c r="I191" s="8"/>
      <c r="J191" s="8"/>
      <c r="K191" s="8"/>
      <c r="L191" s="8"/>
      <c r="M191" s="8"/>
      <c r="N191" s="8"/>
      <c r="O191" s="8"/>
      <c r="P191" s="8"/>
      <c r="T191" s="922">
        <v>45944</v>
      </c>
      <c r="U191" s="923">
        <v>173.94</v>
      </c>
      <c r="V191" s="8"/>
      <c r="W191" s="8"/>
      <c r="X191" s="8"/>
      <c r="Y191" s="8"/>
      <c r="Z191" s="8"/>
      <c r="AA191" s="8"/>
      <c r="AB191" s="8"/>
      <c r="AC191" s="8"/>
    </row>
    <row r="192" ht="13.5" customHeight="1" spans="1:29" x14ac:dyDescent="0.25">
      <c r="A192" s="9"/>
      <c r="B192" s="8"/>
      <c r="C192" s="922">
        <v>45950</v>
      </c>
      <c r="D192" s="923">
        <v>179.585</v>
      </c>
      <c r="E192" s="8"/>
      <c r="F192" s="8"/>
      <c r="G192" s="8"/>
      <c r="H192" s="8"/>
      <c r="I192" s="8"/>
      <c r="J192" s="8"/>
      <c r="K192" s="8"/>
      <c r="L192" s="8"/>
      <c r="M192" s="8"/>
      <c r="N192" s="8"/>
      <c r="O192" s="8"/>
      <c r="P192" s="8"/>
      <c r="T192" s="922">
        <v>45943</v>
      </c>
      <c r="U192" s="923">
        <v>175.11</v>
      </c>
      <c r="V192" s="8"/>
      <c r="W192" s="8"/>
      <c r="X192" s="8"/>
      <c r="Y192" s="8"/>
      <c r="Z192" s="8"/>
      <c r="AA192" s="8"/>
      <c r="AB192" s="8"/>
      <c r="AC192" s="8"/>
    </row>
    <row r="193" ht="13.5" customHeight="1" spans="1:29" x14ac:dyDescent="0.25">
      <c r="A193" s="9"/>
      <c r="B193" s="8"/>
      <c r="C193" s="922">
        <v>45946</v>
      </c>
      <c r="D193" s="923">
        <v>175.48</v>
      </c>
      <c r="E193" s="8"/>
      <c r="F193" s="8"/>
      <c r="G193" s="8"/>
      <c r="H193" s="8"/>
      <c r="I193" s="8"/>
      <c r="J193" s="8"/>
      <c r="K193" s="8"/>
      <c r="L193" s="8"/>
      <c r="M193" s="8"/>
      <c r="N193" s="8"/>
      <c r="O193" s="8"/>
      <c r="P193" s="8"/>
      <c r="T193" s="922">
        <v>45940</v>
      </c>
      <c r="U193" s="923">
        <v>171.7</v>
      </c>
      <c r="V193" s="8"/>
      <c r="W193" s="8"/>
      <c r="X193" s="8"/>
      <c r="Y193" s="8"/>
      <c r="Z193" s="8"/>
      <c r="AA193" s="8"/>
      <c r="AB193" s="8"/>
      <c r="AC193" s="8"/>
    </row>
    <row r="194" ht="13.5" customHeight="1" spans="1:29" x14ac:dyDescent="0.25">
      <c r="A194" s="9"/>
      <c r="B194" s="8"/>
      <c r="C194" s="922">
        <v>45945</v>
      </c>
      <c r="D194" s="923">
        <v>175.27</v>
      </c>
      <c r="E194" s="8"/>
      <c r="F194" s="8"/>
      <c r="G194" s="8"/>
      <c r="H194" s="8"/>
      <c r="I194" s="8"/>
      <c r="J194" s="8"/>
      <c r="K194" s="8"/>
      <c r="L194" s="8"/>
      <c r="M194" s="8"/>
      <c r="N194" s="8"/>
      <c r="O194" s="8"/>
      <c r="P194" s="8"/>
      <c r="T194" s="922">
        <v>45938</v>
      </c>
      <c r="U194" s="923">
        <v>181.6</v>
      </c>
      <c r="V194" s="8"/>
      <c r="W194" s="8"/>
      <c r="X194" s="8"/>
      <c r="Y194" s="8"/>
      <c r="Z194" s="8"/>
      <c r="AA194" s="8"/>
      <c r="AB194" s="8"/>
      <c r="AC194" s="8"/>
    </row>
    <row r="195" ht="13.5" customHeight="1" spans="1:29" x14ac:dyDescent="0.25">
      <c r="A195" s="9"/>
      <c r="B195" s="8"/>
      <c r="C195" s="922">
        <v>45944</v>
      </c>
      <c r="D195" s="923">
        <v>173.94</v>
      </c>
      <c r="E195" s="8"/>
      <c r="F195" s="8"/>
      <c r="G195" s="8"/>
      <c r="H195" s="8"/>
      <c r="I195" s="8"/>
      <c r="J195" s="8"/>
      <c r="K195" s="8"/>
      <c r="L195" s="8"/>
      <c r="M195" s="8"/>
      <c r="N195" s="8"/>
      <c r="O195" s="8"/>
      <c r="P195" s="8"/>
      <c r="T195" s="922">
        <v>45937</v>
      </c>
      <c r="U195" s="923">
        <v>177.05</v>
      </c>
      <c r="V195" s="8"/>
      <c r="W195" s="8"/>
      <c r="X195" s="8"/>
      <c r="Y195" s="8"/>
      <c r="Z195" s="8"/>
      <c r="AA195" s="8"/>
      <c r="AB195" s="8"/>
      <c r="AC195" s="8"/>
    </row>
    <row r="196" ht="13.5" customHeight="1" spans="1:29" x14ac:dyDescent="0.25">
      <c r="A196" s="9"/>
      <c r="B196" s="8"/>
      <c r="C196" s="922">
        <v>45943</v>
      </c>
      <c r="D196" s="923">
        <v>175.11</v>
      </c>
      <c r="E196" s="8"/>
      <c r="F196" s="8"/>
      <c r="G196" s="8"/>
      <c r="H196" s="8"/>
      <c r="I196" s="8"/>
      <c r="J196" s="8"/>
      <c r="K196" s="8"/>
      <c r="L196" s="8"/>
      <c r="M196" s="8"/>
      <c r="N196" s="8"/>
      <c r="O196" s="8"/>
      <c r="P196" s="8"/>
      <c r="T196" s="922">
        <v>45936</v>
      </c>
      <c r="U196" s="923">
        <v>181.81</v>
      </c>
      <c r="V196" s="8"/>
      <c r="W196" s="8"/>
      <c r="X196" s="8"/>
      <c r="Y196" s="8"/>
      <c r="Z196" s="8"/>
      <c r="AA196" s="8"/>
      <c r="AB196" s="8"/>
      <c r="AC196" s="8"/>
    </row>
    <row r="197" ht="13.5" customHeight="1" spans="1:29" x14ac:dyDescent="0.25">
      <c r="A197" s="9"/>
      <c r="B197" s="8"/>
      <c r="C197" s="922">
        <v>45940</v>
      </c>
      <c r="D197" s="923">
        <v>171.7</v>
      </c>
      <c r="E197" s="8"/>
      <c r="F197" s="8"/>
      <c r="G197" s="8"/>
      <c r="H197" s="8"/>
      <c r="I197" s="8"/>
      <c r="J197" s="8"/>
      <c r="K197" s="8"/>
      <c r="L197" s="8"/>
      <c r="M197" s="8"/>
      <c r="N197" s="8"/>
      <c r="O197" s="8"/>
      <c r="P197" s="8"/>
      <c r="T197" s="922">
        <v>45933</v>
      </c>
      <c r="U197" s="923">
        <v>180.32</v>
      </c>
      <c r="V197" s="8"/>
      <c r="W197" s="8"/>
      <c r="X197" s="8"/>
      <c r="Y197" s="8"/>
      <c r="Z197" s="8"/>
      <c r="AA197" s="8"/>
      <c r="AB197" s="8"/>
      <c r="AC197" s="8"/>
    </row>
    <row r="198" ht="13.5" customHeight="1" spans="1:29" x14ac:dyDescent="0.25">
      <c r="A198" s="9"/>
      <c r="B198" s="8"/>
      <c r="C198" s="922">
        <v>45938</v>
      </c>
      <c r="D198" s="923">
        <v>181.6</v>
      </c>
      <c r="E198" s="8"/>
      <c r="F198" s="8"/>
      <c r="G198" s="8"/>
      <c r="H198" s="8"/>
      <c r="I198" s="8"/>
      <c r="J198" s="8"/>
      <c r="K198" s="8"/>
      <c r="L198" s="8"/>
      <c r="M198" s="8"/>
      <c r="N198" s="8"/>
      <c r="O198" s="8"/>
      <c r="P198" s="8"/>
      <c r="T198" s="922">
        <v>45932</v>
      </c>
      <c r="U198" s="923">
        <v>182.32</v>
      </c>
      <c r="V198" s="8"/>
      <c r="W198" s="8"/>
      <c r="X198" s="8"/>
      <c r="Y198" s="8"/>
      <c r="Z198" s="8"/>
      <c r="AA198" s="8"/>
      <c r="AB198" s="8"/>
      <c r="AC198" s="8"/>
    </row>
    <row r="199" ht="13.5" customHeight="1" spans="1:29" x14ac:dyDescent="0.25">
      <c r="A199" s="9"/>
      <c r="B199" s="8"/>
      <c r="C199" s="922">
        <v>45937</v>
      </c>
      <c r="D199" s="923">
        <v>177.05</v>
      </c>
      <c r="E199" s="8"/>
      <c r="F199" s="8"/>
      <c r="G199" s="8"/>
      <c r="H199" s="8"/>
      <c r="I199" s="8"/>
      <c r="J199" s="8"/>
      <c r="K199" s="8"/>
      <c r="L199" s="8"/>
      <c r="M199" s="8"/>
      <c r="N199" s="8"/>
      <c r="O199" s="8"/>
      <c r="P199" s="8"/>
      <c r="T199" s="922">
        <v>45930</v>
      </c>
      <c r="U199" s="923">
        <v>183.73</v>
      </c>
      <c r="V199" s="8"/>
      <c r="W199" s="8"/>
      <c r="X199" s="8"/>
      <c r="Y199" s="8"/>
      <c r="Z199" s="8"/>
      <c r="AA199" s="8"/>
      <c r="AB199" s="8"/>
      <c r="AC199" s="8"/>
    </row>
    <row r="200" ht="13.5" customHeight="1" spans="1:29" x14ac:dyDescent="0.25">
      <c r="A200" s="9"/>
      <c r="B200" s="8"/>
      <c r="C200" s="922">
        <v>45936</v>
      </c>
      <c r="D200" s="923">
        <v>181.81</v>
      </c>
      <c r="E200" s="8"/>
      <c r="F200" s="8"/>
      <c r="G200" s="8"/>
      <c r="H200" s="8"/>
      <c r="I200" s="8"/>
      <c r="J200" s="8"/>
      <c r="K200" s="8"/>
      <c r="L200" s="8"/>
      <c r="M200" s="8"/>
      <c r="N200" s="8"/>
      <c r="O200" s="8"/>
      <c r="P200" s="8"/>
      <c r="T200" s="922">
        <v>45929</v>
      </c>
      <c r="U200" s="923">
        <v>183.23</v>
      </c>
      <c r="V200" s="8"/>
      <c r="W200" s="8"/>
      <c r="X200" s="8"/>
      <c r="Y200" s="8"/>
      <c r="Z200" s="8"/>
      <c r="AA200" s="8"/>
      <c r="AB200" s="8"/>
      <c r="AC200" s="8"/>
    </row>
    <row r="201" ht="13.5" customHeight="1" spans="1:29" x14ac:dyDescent="0.25">
      <c r="A201" s="9"/>
      <c r="B201" s="8"/>
      <c r="C201" s="922">
        <v>45933</v>
      </c>
      <c r="D201" s="923">
        <v>180.32</v>
      </c>
      <c r="E201" s="8"/>
      <c r="F201" s="8"/>
      <c r="G201" s="8"/>
      <c r="H201" s="8"/>
      <c r="I201" s="8"/>
      <c r="J201" s="8"/>
      <c r="K201" s="8"/>
      <c r="L201" s="8"/>
      <c r="M201" s="8"/>
      <c r="N201" s="8"/>
      <c r="O201" s="8"/>
      <c r="P201" s="8"/>
      <c r="T201" s="922">
        <v>45926</v>
      </c>
      <c r="U201" s="923">
        <v>184.55</v>
      </c>
      <c r="V201" s="8"/>
      <c r="W201" s="8"/>
      <c r="X201" s="8"/>
      <c r="Y201" s="8"/>
      <c r="Z201" s="8"/>
      <c r="AA201" s="8"/>
      <c r="AB201" s="8"/>
      <c r="AC201" s="8"/>
    </row>
    <row r="202" ht="13.5" customHeight="1" spans="1:29" x14ac:dyDescent="0.25">
      <c r="A202" s="9"/>
      <c r="B202" s="8"/>
      <c r="C202" s="922">
        <v>45932</v>
      </c>
      <c r="D202" s="923">
        <v>182.32</v>
      </c>
      <c r="E202" s="8"/>
      <c r="F202" s="8"/>
      <c r="G202" s="8"/>
      <c r="H202" s="8"/>
      <c r="I202" s="8"/>
      <c r="J202" s="8"/>
      <c r="K202" s="8"/>
      <c r="L202" s="8"/>
      <c r="M202" s="8"/>
      <c r="N202" s="8"/>
      <c r="O202" s="8"/>
      <c r="P202" s="8"/>
      <c r="T202" s="922">
        <v>45925</v>
      </c>
      <c r="U202" s="923">
        <v>182.04</v>
      </c>
      <c r="V202" s="8"/>
      <c r="W202" s="8"/>
      <c r="X202" s="8"/>
      <c r="Y202" s="8"/>
      <c r="Z202" s="8"/>
      <c r="AA202" s="8"/>
      <c r="AB202" s="8"/>
      <c r="AC202" s="8"/>
    </row>
    <row r="203" ht="13.5" customHeight="1" spans="1:29" x14ac:dyDescent="0.25">
      <c r="A203" s="9"/>
      <c r="B203" s="8"/>
      <c r="C203" s="922">
        <v>45930</v>
      </c>
      <c r="D203" s="923">
        <v>183.73</v>
      </c>
      <c r="E203" s="8"/>
      <c r="F203" s="8"/>
      <c r="G203" s="8"/>
      <c r="H203" s="8"/>
      <c r="I203" s="8"/>
      <c r="J203" s="8"/>
      <c r="K203" s="8"/>
      <c r="L203" s="8"/>
      <c r="M203" s="8"/>
      <c r="N203" s="8"/>
      <c r="O203" s="8"/>
      <c r="P203" s="8"/>
      <c r="T203" s="922">
        <v>45923</v>
      </c>
      <c r="U203" s="923">
        <v>182.04</v>
      </c>
      <c r="V203" s="8"/>
      <c r="W203" s="8"/>
      <c r="X203" s="8"/>
      <c r="Y203" s="8"/>
      <c r="Z203" s="8"/>
      <c r="AA203" s="8"/>
      <c r="AB203" s="8"/>
      <c r="AC203" s="8"/>
    </row>
    <row r="204" ht="13.5" customHeight="1" spans="1:29" x14ac:dyDescent="0.25">
      <c r="A204" s="9"/>
      <c r="B204" s="8"/>
      <c r="C204" s="922">
        <v>45929</v>
      </c>
      <c r="D204" s="923">
        <v>183.23</v>
      </c>
      <c r="E204" s="8"/>
      <c r="F204" s="8"/>
      <c r="G204" s="8"/>
      <c r="H204" s="8"/>
      <c r="I204" s="8"/>
      <c r="J204" s="8"/>
      <c r="K204" s="8"/>
      <c r="L204" s="8"/>
      <c r="M204" s="8"/>
      <c r="N204" s="8"/>
      <c r="O204" s="8"/>
      <c r="P204" s="8"/>
      <c r="T204" s="922">
        <v>45922</v>
      </c>
      <c r="U204" s="923">
        <v>179.62</v>
      </c>
      <c r="V204" s="8"/>
      <c r="W204" s="8"/>
      <c r="X204" s="8"/>
      <c r="Y204" s="8"/>
      <c r="Z204" s="8"/>
      <c r="AA204" s="8"/>
      <c r="AB204" s="8"/>
      <c r="AC204" s="8"/>
    </row>
    <row r="205" ht="13.5" customHeight="1" spans="1:29" x14ac:dyDescent="0.25">
      <c r="A205" s="9"/>
      <c r="B205" s="8"/>
      <c r="C205" s="922">
        <v>45926</v>
      </c>
      <c r="D205" s="923">
        <v>184.55</v>
      </c>
      <c r="E205" s="8"/>
      <c r="F205" s="8"/>
      <c r="G205" s="8"/>
      <c r="H205" s="8"/>
      <c r="I205" s="8"/>
      <c r="J205" s="8"/>
      <c r="K205" s="8"/>
      <c r="L205" s="8"/>
      <c r="M205" s="8"/>
      <c r="N205" s="8"/>
      <c r="O205" s="8"/>
      <c r="P205" s="8"/>
      <c r="T205" s="922">
        <v>45919</v>
      </c>
      <c r="U205" s="923">
        <v>179.37</v>
      </c>
      <c r="V205" s="8"/>
      <c r="W205" s="8"/>
      <c r="X205" s="8"/>
      <c r="Y205" s="8"/>
      <c r="Z205" s="8"/>
      <c r="AA205" s="8"/>
      <c r="AB205" s="8"/>
      <c r="AC205" s="8"/>
    </row>
    <row r="206" ht="13.5" customHeight="1" spans="1:29" x14ac:dyDescent="0.25">
      <c r="A206" s="9"/>
      <c r="B206" s="8"/>
      <c r="C206" s="922">
        <v>45925</v>
      </c>
      <c r="D206" s="923">
        <v>182.04</v>
      </c>
      <c r="E206" s="8"/>
      <c r="F206" s="8"/>
      <c r="G206" s="8"/>
      <c r="H206" s="8"/>
      <c r="I206" s="8"/>
      <c r="J206" s="8"/>
      <c r="K206" s="8"/>
      <c r="L206" s="8"/>
      <c r="M206" s="8"/>
      <c r="N206" s="8"/>
      <c r="O206" s="8"/>
      <c r="P206" s="8"/>
      <c r="T206" s="922">
        <v>45918</v>
      </c>
      <c r="U206" s="923">
        <v>181.62</v>
      </c>
      <c r="V206" s="8"/>
      <c r="W206" s="8"/>
      <c r="X206" s="8"/>
      <c r="Y206" s="8"/>
      <c r="Z206" s="8"/>
      <c r="AA206" s="8"/>
      <c r="AB206" s="8"/>
      <c r="AC206" s="8"/>
    </row>
    <row r="207" ht="13.5" customHeight="1" spans="1:29" x14ac:dyDescent="0.25">
      <c r="A207" s="9"/>
      <c r="B207" s="8"/>
      <c r="C207" s="922">
        <v>45923</v>
      </c>
      <c r="D207" s="923">
        <v>182.04</v>
      </c>
      <c r="E207" s="8"/>
      <c r="F207" s="8"/>
      <c r="G207" s="8"/>
      <c r="H207" s="8"/>
      <c r="I207" s="8"/>
      <c r="J207" s="8"/>
      <c r="K207" s="8"/>
      <c r="L207" s="8"/>
      <c r="M207" s="8"/>
      <c r="N207" s="8"/>
      <c r="O207" s="8"/>
      <c r="P207" s="8"/>
      <c r="T207" s="922">
        <v>45917</v>
      </c>
      <c r="U207" s="923">
        <v>180.3</v>
      </c>
      <c r="V207" s="8"/>
      <c r="W207" s="8"/>
      <c r="X207" s="8"/>
      <c r="Y207" s="8"/>
      <c r="Z207" s="8"/>
      <c r="AA207" s="8"/>
      <c r="AB207" s="8"/>
      <c r="AC207" s="8"/>
    </row>
    <row r="208" ht="13.5" customHeight="1" spans="1:29" x14ac:dyDescent="0.25">
      <c r="A208" s="9"/>
      <c r="B208" s="8"/>
      <c r="C208" s="922">
        <v>45922</v>
      </c>
      <c r="D208" s="923">
        <v>179.62</v>
      </c>
      <c r="E208" s="8"/>
      <c r="F208" s="8"/>
      <c r="G208" s="8"/>
      <c r="H208" s="8"/>
      <c r="I208" s="8"/>
      <c r="J208" s="8"/>
      <c r="K208" s="8"/>
      <c r="L208" s="8"/>
      <c r="M208" s="8"/>
      <c r="N208" s="8"/>
      <c r="O208" s="8"/>
      <c r="P208" s="8"/>
      <c r="T208" s="922">
        <v>45915</v>
      </c>
      <c r="U208" s="923">
        <v>178.2</v>
      </c>
      <c r="V208" s="8"/>
      <c r="W208" s="8"/>
      <c r="X208" s="8"/>
      <c r="Y208" s="8"/>
      <c r="Z208" s="8"/>
      <c r="AA208" s="8"/>
      <c r="AB208" s="8"/>
      <c r="AC208" s="8"/>
    </row>
    <row r="209" ht="13.5" customHeight="1" spans="1:29" x14ac:dyDescent="0.25">
      <c r="A209" s="9"/>
      <c r="B209" s="8"/>
      <c r="C209" s="922">
        <v>45919</v>
      </c>
      <c r="D209" s="923">
        <v>179.37</v>
      </c>
      <c r="E209" s="8"/>
      <c r="F209" s="8"/>
      <c r="G209" s="8"/>
      <c r="H209" s="8"/>
      <c r="I209" s="8"/>
      <c r="J209" s="8"/>
      <c r="K209" s="8"/>
      <c r="L209" s="8"/>
      <c r="M209" s="8"/>
      <c r="N209" s="8"/>
      <c r="O209" s="8"/>
      <c r="P209" s="8"/>
      <c r="T209" s="922">
        <v>45912</v>
      </c>
      <c r="U209" s="923">
        <v>182.6</v>
      </c>
      <c r="V209" s="8"/>
      <c r="W209" s="8"/>
      <c r="X209" s="8"/>
      <c r="Y209" s="8"/>
      <c r="Z209" s="8"/>
      <c r="AA209" s="8"/>
      <c r="AB209" s="8"/>
      <c r="AC209" s="8"/>
    </row>
    <row r="210" ht="13.5" customHeight="1" spans="1:29" x14ac:dyDescent="0.25">
      <c r="A210" s="9"/>
      <c r="B210" s="8"/>
      <c r="C210" s="922">
        <v>45918</v>
      </c>
      <c r="D210" s="923">
        <v>181.62</v>
      </c>
      <c r="E210" s="8"/>
      <c r="F210" s="8"/>
      <c r="G210" s="8"/>
      <c r="H210" s="8"/>
      <c r="I210" s="8"/>
      <c r="J210" s="8"/>
      <c r="K210" s="8"/>
      <c r="L210" s="8"/>
      <c r="M210" s="8"/>
      <c r="O210" s="8"/>
      <c r="P210" s="8"/>
      <c r="T210" s="922">
        <v>45911</v>
      </c>
      <c r="U210" s="923">
        <v>184.35</v>
      </c>
      <c r="V210" s="8"/>
      <c r="W210" s="8"/>
      <c r="X210" s="8"/>
      <c r="Y210" s="8"/>
      <c r="Z210" s="8"/>
      <c r="AA210" s="8"/>
      <c r="AB210" s="8"/>
      <c r="AC210" s="8"/>
    </row>
    <row r="211" ht="13.5" customHeight="1" spans="1:29" x14ac:dyDescent="0.25">
      <c r="A211" s="9"/>
      <c r="B211" s="8"/>
      <c r="C211" s="922">
        <v>45917</v>
      </c>
      <c r="D211" s="923">
        <v>180.3</v>
      </c>
      <c r="E211" s="8"/>
      <c r="F211" s="8"/>
      <c r="G211" s="8"/>
      <c r="H211" s="8"/>
      <c r="I211" s="8"/>
      <c r="J211" s="8"/>
      <c r="K211" s="8"/>
      <c r="L211" s="8"/>
      <c r="M211" s="8"/>
      <c r="N211" s="8"/>
      <c r="O211" s="8"/>
      <c r="P211" s="8"/>
      <c r="T211" s="922">
        <v>45910</v>
      </c>
      <c r="U211" s="923">
        <v>184.01</v>
      </c>
      <c r="V211" s="8"/>
      <c r="W211" s="8"/>
      <c r="X211" s="8"/>
      <c r="Y211" s="8"/>
      <c r="Z211" s="8"/>
      <c r="AA211" s="8"/>
      <c r="AB211" s="8"/>
      <c r="AC211" s="8"/>
    </row>
    <row r="212" ht="13.5" customHeight="1" spans="1:29" x14ac:dyDescent="0.25">
      <c r="A212" s="9"/>
      <c r="B212" s="8"/>
      <c r="C212" s="922">
        <v>45915</v>
      </c>
      <c r="D212" s="923">
        <v>178.2</v>
      </c>
      <c r="E212" s="8"/>
      <c r="F212" s="8"/>
      <c r="G212" s="8"/>
      <c r="H212" s="8"/>
      <c r="I212" s="8"/>
      <c r="J212" s="8"/>
      <c r="K212" s="8"/>
      <c r="L212" s="8"/>
      <c r="M212" s="8"/>
      <c r="N212" s="8"/>
      <c r="O212" s="8"/>
      <c r="P212" s="8"/>
      <c r="T212" s="922">
        <v>45909</v>
      </c>
      <c r="U212" s="923">
        <v>185.03</v>
      </c>
      <c r="V212" s="8"/>
      <c r="W212" s="8"/>
      <c r="X212" s="8"/>
      <c r="Y212" s="8"/>
      <c r="Z212" s="8"/>
      <c r="AA212" s="8"/>
      <c r="AB212" s="8"/>
      <c r="AC212" s="8"/>
    </row>
    <row r="213" ht="13.5" customHeight="1" spans="1:29" x14ac:dyDescent="0.25">
      <c r="A213" s="9"/>
      <c r="B213" s="8"/>
      <c r="C213" s="922">
        <v>45912</v>
      </c>
      <c r="D213" s="923">
        <v>182.6</v>
      </c>
      <c r="E213" s="8"/>
      <c r="F213" s="8"/>
      <c r="G213" s="8"/>
      <c r="H213" s="8"/>
      <c r="I213" s="8"/>
      <c r="J213" s="8"/>
      <c r="K213" s="8"/>
      <c r="L213" s="8"/>
      <c r="M213" s="8"/>
      <c r="N213" s="8"/>
      <c r="O213" s="8"/>
      <c r="P213" s="8"/>
      <c r="T213" s="922">
        <v>45905</v>
      </c>
      <c r="U213" s="923">
        <v>187.93</v>
      </c>
      <c r="V213" s="8"/>
      <c r="W213" s="8"/>
      <c r="X213" s="8"/>
      <c r="Y213" s="8"/>
      <c r="Z213" s="8"/>
      <c r="AA213" s="8"/>
      <c r="AB213" s="8"/>
      <c r="AC213" s="8"/>
    </row>
    <row r="214" ht="13.5" customHeight="1" spans="1:29" x14ac:dyDescent="0.25">
      <c r="A214" s="9"/>
      <c r="B214" s="8"/>
      <c r="C214" s="922">
        <v>45911</v>
      </c>
      <c r="D214" s="923">
        <v>184.35</v>
      </c>
      <c r="E214" s="8"/>
      <c r="F214" s="8"/>
      <c r="G214" s="8"/>
      <c r="H214" s="8"/>
      <c r="I214" s="8"/>
      <c r="J214" s="8"/>
      <c r="K214" s="8"/>
      <c r="L214" s="8"/>
      <c r="M214" s="8"/>
      <c r="N214" s="8"/>
      <c r="O214" s="8"/>
      <c r="P214" s="8"/>
      <c r="T214" s="922">
        <v>45904</v>
      </c>
      <c r="U214" s="923">
        <v>187.29</v>
      </c>
      <c r="V214" s="8"/>
      <c r="W214" s="8"/>
      <c r="X214" s="8"/>
      <c r="Y214" s="8"/>
      <c r="Z214" s="8"/>
      <c r="AA214" s="8"/>
      <c r="AB214" s="8"/>
      <c r="AC214" s="8"/>
    </row>
    <row r="215" ht="13.5" customHeight="1" spans="1:29" x14ac:dyDescent="0.25">
      <c r="A215" s="9"/>
      <c r="B215" s="8"/>
      <c r="C215" s="922">
        <v>45910</v>
      </c>
      <c r="D215" s="923">
        <v>184.01</v>
      </c>
      <c r="E215" s="8"/>
      <c r="F215" s="8"/>
      <c r="G215" s="8"/>
      <c r="H215" s="8"/>
      <c r="I215" s="8"/>
      <c r="J215" s="8"/>
      <c r="K215" s="8"/>
      <c r="L215" s="8"/>
      <c r="M215" s="8"/>
      <c r="N215" s="8"/>
      <c r="O215" s="8"/>
      <c r="P215" s="8"/>
      <c r="T215" s="922">
        <v>45903</v>
      </c>
      <c r="U215" s="923">
        <v>195.74</v>
      </c>
      <c r="V215" s="8"/>
      <c r="W215" s="8"/>
      <c r="X215" s="8"/>
      <c r="Y215" s="8"/>
      <c r="Z215" s="8"/>
      <c r="AA215" s="8"/>
      <c r="AB215" s="8"/>
      <c r="AC215" s="8"/>
    </row>
    <row r="216" ht="13.5" customHeight="1" spans="1:29" x14ac:dyDescent="0.25">
      <c r="A216" s="9"/>
      <c r="B216" s="8"/>
      <c r="C216" s="922">
        <v>45909</v>
      </c>
      <c r="D216" s="923">
        <v>185.03</v>
      </c>
      <c r="E216" s="8"/>
      <c r="F216" s="8"/>
      <c r="G216" s="8"/>
      <c r="H216" s="8"/>
      <c r="I216" s="8"/>
      <c r="J216" s="8"/>
      <c r="K216" s="8"/>
      <c r="L216" s="8"/>
      <c r="M216" s="8"/>
      <c r="N216" s="8"/>
      <c r="O216" s="8"/>
      <c r="P216" s="8"/>
      <c r="T216" s="922">
        <v>45902</v>
      </c>
      <c r="U216" s="923">
        <v>199.81</v>
      </c>
      <c r="V216" s="8"/>
      <c r="W216" s="8"/>
      <c r="X216" s="8"/>
      <c r="Y216" s="8"/>
      <c r="Z216" s="8"/>
      <c r="AA216" s="8"/>
      <c r="AB216" s="8"/>
      <c r="AC216" s="8"/>
    </row>
    <row r="217" ht="13.5" customHeight="1" spans="1:29" x14ac:dyDescent="0.25">
      <c r="A217" s="9"/>
      <c r="B217" s="8"/>
      <c r="C217" s="922">
        <v>45905</v>
      </c>
      <c r="D217" s="923">
        <v>187.93</v>
      </c>
      <c r="E217" s="8"/>
      <c r="F217" s="8"/>
      <c r="G217" s="8"/>
      <c r="H217" s="8"/>
      <c r="I217" s="8"/>
      <c r="J217" s="8"/>
      <c r="K217" s="8"/>
      <c r="L217" s="8"/>
      <c r="M217" s="8"/>
      <c r="N217" s="8"/>
      <c r="O217" s="8"/>
      <c r="P217" s="8"/>
      <c r="T217" s="922">
        <v>45898</v>
      </c>
      <c r="U217" s="923">
        <v>202.48</v>
      </c>
      <c r="V217" s="8"/>
      <c r="W217" s="8"/>
      <c r="X217" s="8"/>
      <c r="Y217" s="8"/>
      <c r="Z217" s="8"/>
      <c r="AA217" s="8"/>
      <c r="AB217" s="8"/>
      <c r="AC217" s="8"/>
    </row>
    <row r="218" ht="13.5" customHeight="1" spans="1:29" x14ac:dyDescent="0.25">
      <c r="A218" s="9"/>
      <c r="B218" s="8"/>
      <c r="C218" s="922">
        <v>45904</v>
      </c>
      <c r="D218" s="923">
        <v>187.29</v>
      </c>
      <c r="E218" s="8"/>
      <c r="F218" s="8"/>
      <c r="G218" s="8"/>
      <c r="H218" s="8"/>
      <c r="I218" s="8"/>
      <c r="J218" s="8"/>
      <c r="K218" s="8"/>
      <c r="L218" s="8"/>
      <c r="M218" s="8"/>
      <c r="N218" s="8"/>
      <c r="O218" s="8"/>
      <c r="P218" s="8"/>
      <c r="T218" s="922">
        <v>45896</v>
      </c>
      <c r="U218" s="923">
        <v>205.47</v>
      </c>
      <c r="V218" s="8"/>
      <c r="W218" s="8"/>
      <c r="X218" s="8"/>
      <c r="Y218" s="8"/>
      <c r="Z218" s="8"/>
      <c r="AA218" s="8"/>
      <c r="AB218" s="8"/>
      <c r="AC218" s="8"/>
    </row>
    <row r="219" ht="13.5" customHeight="1" spans="1:29" x14ac:dyDescent="0.25">
      <c r="A219" s="9"/>
      <c r="B219" s="8"/>
      <c r="C219" s="922">
        <v>45903</v>
      </c>
      <c r="D219" s="923">
        <v>195.74</v>
      </c>
      <c r="E219" s="8"/>
      <c r="F219" s="8"/>
      <c r="G219" s="8"/>
      <c r="H219" s="8"/>
      <c r="I219" s="8"/>
      <c r="J219" s="8"/>
      <c r="K219" s="8"/>
      <c r="L219" s="8"/>
      <c r="M219" s="8"/>
      <c r="N219" s="8"/>
      <c r="O219" s="8"/>
      <c r="P219" s="8"/>
      <c r="T219" s="922">
        <v>45895</v>
      </c>
      <c r="U219" s="923">
        <v>205.98</v>
      </c>
      <c r="V219" s="8"/>
      <c r="W219" s="8"/>
      <c r="X219" s="8"/>
      <c r="Y219" s="8"/>
      <c r="Z219" s="8"/>
      <c r="AA219" s="8"/>
      <c r="AB219" s="8"/>
      <c r="AC219" s="8"/>
    </row>
    <row r="220" ht="13.5" customHeight="1" spans="1:29" x14ac:dyDescent="0.25">
      <c r="A220" s="9"/>
      <c r="B220" s="8"/>
      <c r="C220" s="922">
        <v>45902</v>
      </c>
      <c r="D220" s="923">
        <v>199.81</v>
      </c>
      <c r="E220" s="8"/>
      <c r="F220" s="8"/>
      <c r="G220" s="8"/>
      <c r="H220" s="8"/>
      <c r="I220" s="8"/>
      <c r="J220" s="8"/>
      <c r="K220" s="8"/>
      <c r="L220" s="8"/>
      <c r="M220" s="8"/>
      <c r="N220" s="8"/>
      <c r="O220" s="8"/>
      <c r="P220" s="8"/>
      <c r="T220" s="922">
        <v>45894</v>
      </c>
      <c r="U220" s="923">
        <v>205.97</v>
      </c>
      <c r="V220" s="8"/>
      <c r="W220" s="8"/>
      <c r="X220" s="8"/>
      <c r="Y220" s="8"/>
      <c r="Z220" s="8"/>
      <c r="AA220" s="8"/>
      <c r="AB220" s="8"/>
      <c r="AC220" s="8"/>
    </row>
    <row r="221" ht="13.5" customHeight="1" spans="1:29" x14ac:dyDescent="0.25">
      <c r="A221" s="9"/>
      <c r="B221" s="8"/>
      <c r="C221" s="922">
        <v>45898</v>
      </c>
      <c r="D221" s="923">
        <v>202.48</v>
      </c>
      <c r="E221" s="8"/>
      <c r="F221" s="8"/>
      <c r="G221" s="8"/>
      <c r="H221" s="8"/>
      <c r="I221" s="8"/>
      <c r="J221" s="8"/>
      <c r="K221" s="8"/>
      <c r="L221" s="8"/>
      <c r="M221" s="8"/>
      <c r="N221" s="8"/>
      <c r="O221" s="8"/>
      <c r="P221" s="8"/>
      <c r="T221" s="922">
        <v>45891</v>
      </c>
      <c r="U221" s="923">
        <v>206.06</v>
      </c>
      <c r="V221" s="8"/>
      <c r="W221" s="8"/>
      <c r="X221" s="8"/>
      <c r="Y221" s="8"/>
      <c r="Z221" s="8"/>
      <c r="AA221" s="8"/>
      <c r="AB221" s="8"/>
      <c r="AC221" s="8"/>
    </row>
    <row r="222" ht="13.5" customHeight="1" spans="1:29" x14ac:dyDescent="0.25">
      <c r="A222" s="9"/>
      <c r="B222" s="8"/>
      <c r="C222" s="922">
        <v>45896</v>
      </c>
      <c r="D222" s="923">
        <v>205.47</v>
      </c>
      <c r="E222" s="8"/>
      <c r="F222" s="8"/>
      <c r="G222" s="8"/>
      <c r="H222" s="8"/>
      <c r="I222" s="8"/>
      <c r="J222" s="8"/>
      <c r="K222" s="8"/>
      <c r="L222" s="8"/>
      <c r="M222" s="8"/>
      <c r="N222" s="8"/>
      <c r="O222" s="8"/>
      <c r="P222" s="8"/>
      <c r="T222" s="922">
        <v>45890</v>
      </c>
      <c r="U222" s="923">
        <v>200.71</v>
      </c>
      <c r="V222" s="8"/>
      <c r="W222" s="8"/>
      <c r="X222" s="8"/>
      <c r="Y222" s="8"/>
      <c r="Z222" s="8"/>
      <c r="AA222" s="8"/>
      <c r="AB222" s="8"/>
      <c r="AC222" s="8"/>
    </row>
    <row r="223" ht="13.5" customHeight="1" spans="1:29" x14ac:dyDescent="0.25">
      <c r="A223" s="9"/>
      <c r="B223" s="8"/>
      <c r="C223" s="922">
        <v>45895</v>
      </c>
      <c r="D223" s="923">
        <v>205.98</v>
      </c>
      <c r="E223" s="8"/>
      <c r="F223" s="8"/>
      <c r="G223" s="8"/>
      <c r="H223" s="8"/>
      <c r="I223" s="8"/>
      <c r="J223" s="8"/>
      <c r="K223" s="8"/>
      <c r="L223" s="8"/>
      <c r="M223" s="8"/>
      <c r="N223" s="8"/>
      <c r="O223" s="8"/>
      <c r="P223" s="8"/>
      <c r="T223" s="922">
        <v>45888</v>
      </c>
      <c r="U223" s="923">
        <v>195.94</v>
      </c>
      <c r="V223" s="8"/>
      <c r="W223" s="8"/>
      <c r="X223" s="8"/>
      <c r="Y223" s="8"/>
      <c r="Z223" s="8"/>
      <c r="AA223" s="8"/>
      <c r="AB223" s="8"/>
      <c r="AC223" s="8"/>
    </row>
    <row r="224" ht="13.5" customHeight="1" spans="1:29" x14ac:dyDescent="0.25">
      <c r="A224" s="9"/>
      <c r="B224" s="8"/>
      <c r="C224" s="922">
        <v>45894</v>
      </c>
      <c r="D224" s="923">
        <v>205.97</v>
      </c>
      <c r="E224" s="8"/>
      <c r="F224" s="8"/>
      <c r="G224" s="8"/>
      <c r="H224" s="8"/>
      <c r="I224" s="8"/>
      <c r="J224" s="8"/>
      <c r="K224" s="8"/>
      <c r="L224" s="8"/>
      <c r="M224" s="8"/>
      <c r="N224" s="8"/>
      <c r="O224" s="8"/>
      <c r="P224" s="8"/>
      <c r="T224" s="922">
        <v>45887</v>
      </c>
      <c r="U224" s="923">
        <v>194.33</v>
      </c>
      <c r="V224" s="8"/>
      <c r="W224" s="8"/>
      <c r="X224" s="8"/>
      <c r="Y224" s="8"/>
      <c r="Z224" s="8"/>
      <c r="AA224" s="8"/>
      <c r="AB224" s="8"/>
      <c r="AC224" s="8"/>
    </row>
    <row r="225" ht="13.5" customHeight="1" spans="1:29" x14ac:dyDescent="0.25">
      <c r="A225" s="9"/>
      <c r="B225" s="8"/>
      <c r="C225" s="922">
        <v>45891</v>
      </c>
      <c r="D225" s="923">
        <v>206.06</v>
      </c>
      <c r="E225" s="8"/>
      <c r="F225" s="8"/>
      <c r="G225" s="8"/>
      <c r="H225" s="8"/>
      <c r="I225" s="8"/>
      <c r="J225" s="8"/>
      <c r="K225" s="8"/>
      <c r="L225" s="8"/>
      <c r="M225" s="8"/>
      <c r="N225" s="8"/>
      <c r="O225" s="8"/>
      <c r="P225" s="8"/>
      <c r="T225" s="922">
        <v>45884</v>
      </c>
      <c r="U225" s="923">
        <v>194.57</v>
      </c>
      <c r="V225" s="8"/>
      <c r="W225" s="8"/>
      <c r="X225" s="8"/>
      <c r="Y225" s="8"/>
      <c r="Z225" s="8"/>
      <c r="AA225" s="8"/>
      <c r="AB225" s="8"/>
      <c r="AC225" s="8"/>
    </row>
    <row r="226" ht="13.5" customHeight="1" spans="1:29" x14ac:dyDescent="0.25">
      <c r="A226" s="9"/>
      <c r="B226" s="8"/>
      <c r="C226" s="922">
        <v>45890</v>
      </c>
      <c r="D226" s="923">
        <v>200.71</v>
      </c>
      <c r="E226" s="8"/>
      <c r="F226" s="8"/>
      <c r="G226" s="8"/>
      <c r="H226" s="8"/>
      <c r="I226" s="8"/>
      <c r="J226" s="8"/>
      <c r="K226" s="8"/>
      <c r="L226" s="8"/>
      <c r="M226" s="8"/>
      <c r="N226" s="8"/>
      <c r="O226" s="8"/>
      <c r="P226" s="8"/>
      <c r="T226" s="922">
        <v>45883</v>
      </c>
      <c r="U226" s="923">
        <v>193.71</v>
      </c>
      <c r="V226" s="8"/>
      <c r="W226" s="8"/>
      <c r="X226" s="8"/>
      <c r="Y226" s="8"/>
      <c r="Z226" s="8"/>
      <c r="AA226" s="8"/>
      <c r="AB226" s="8"/>
      <c r="AC226" s="8"/>
    </row>
    <row r="227" ht="13.5" customHeight="1" spans="1:29" x14ac:dyDescent="0.25">
      <c r="A227" s="9"/>
      <c r="B227" s="8"/>
      <c r="C227" s="922">
        <v>45888</v>
      </c>
      <c r="D227" s="923">
        <v>195.94</v>
      </c>
      <c r="E227" s="8"/>
      <c r="F227" s="8"/>
      <c r="G227" s="8"/>
      <c r="H227" s="8"/>
      <c r="I227" s="8"/>
      <c r="J227" s="8"/>
      <c r="K227" s="8"/>
      <c r="L227" s="8"/>
      <c r="M227" s="8"/>
      <c r="N227" s="8"/>
      <c r="O227" s="8"/>
      <c r="P227" s="8"/>
      <c r="T227" s="922">
        <v>45882</v>
      </c>
      <c r="U227" s="923">
        <v>193.29</v>
      </c>
      <c r="V227" s="8"/>
      <c r="W227" s="8"/>
      <c r="X227" s="8"/>
      <c r="Y227" s="8"/>
      <c r="Z227" s="8"/>
      <c r="AA227" s="8"/>
      <c r="AB227" s="8"/>
      <c r="AC227" s="8"/>
    </row>
    <row r="228" ht="13.5" customHeight="1" spans="1:29" x14ac:dyDescent="0.25">
      <c r="A228" s="9"/>
      <c r="B228" s="8"/>
      <c r="C228" s="922">
        <v>45887</v>
      </c>
      <c r="D228" s="923">
        <v>194.33</v>
      </c>
      <c r="E228" s="8"/>
      <c r="F228" s="8"/>
      <c r="G228" s="8"/>
      <c r="H228" s="8"/>
      <c r="I228" s="8"/>
      <c r="J228" s="8"/>
      <c r="K228" s="8"/>
      <c r="L228" s="8"/>
      <c r="M228" s="8"/>
      <c r="N228" s="8"/>
      <c r="O228" s="8"/>
      <c r="P228" s="8"/>
      <c r="T228" s="922">
        <v>45880</v>
      </c>
      <c r="U228" s="923">
        <v>183.71</v>
      </c>
      <c r="V228" s="8"/>
      <c r="W228" s="8"/>
      <c r="X228" s="8"/>
      <c r="Y228" s="8"/>
      <c r="Z228" s="8"/>
      <c r="AA228" s="8"/>
      <c r="AB228" s="8"/>
      <c r="AC228" s="8"/>
    </row>
    <row r="229" ht="13.5" customHeight="1" spans="1:29" x14ac:dyDescent="0.25">
      <c r="A229" s="9"/>
      <c r="B229" s="8"/>
      <c r="C229" s="922">
        <v>45884</v>
      </c>
      <c r="D229" s="923">
        <v>194.57</v>
      </c>
      <c r="E229" s="8"/>
      <c r="F229" s="8"/>
      <c r="G229" s="8"/>
      <c r="H229" s="8"/>
      <c r="I229" s="8"/>
      <c r="J229" s="8"/>
      <c r="K229" s="8"/>
      <c r="L229" s="8"/>
      <c r="M229" s="8"/>
      <c r="N229" s="8"/>
      <c r="O229" s="8"/>
      <c r="P229" s="8"/>
      <c r="T229" s="922">
        <v>45877</v>
      </c>
      <c r="U229" s="923">
        <v>187.22</v>
      </c>
      <c r="V229" s="8"/>
      <c r="W229" s="8"/>
      <c r="X229" s="8"/>
      <c r="Y229" s="8"/>
      <c r="Z229" s="8"/>
      <c r="AA229" s="8"/>
      <c r="AB229" s="8"/>
      <c r="AC229" s="8"/>
    </row>
    <row r="230" ht="13.5" customHeight="1" spans="1:29" x14ac:dyDescent="0.25">
      <c r="A230" s="9"/>
      <c r="B230" s="8"/>
      <c r="C230" s="922">
        <v>45883</v>
      </c>
      <c r="D230" s="923">
        <v>193.71</v>
      </c>
      <c r="E230" s="8"/>
      <c r="F230" s="8"/>
      <c r="G230" s="8"/>
      <c r="H230" s="8"/>
      <c r="I230" s="8"/>
      <c r="J230" s="8"/>
      <c r="K230" s="8"/>
      <c r="L230" s="8"/>
      <c r="M230" s="8"/>
      <c r="N230" s="8"/>
      <c r="O230" s="8"/>
      <c r="P230" s="8"/>
      <c r="T230" s="922">
        <v>45876</v>
      </c>
      <c r="U230" s="923">
        <v>185.91</v>
      </c>
      <c r="V230" s="8"/>
      <c r="W230" s="8"/>
      <c r="X230" s="8"/>
      <c r="Y230" s="8"/>
      <c r="Z230" s="8"/>
      <c r="AA230" s="8"/>
      <c r="AB230" s="8"/>
      <c r="AC230" s="8"/>
    </row>
    <row r="231" ht="13.5" customHeight="1" spans="1:29" x14ac:dyDescent="0.25">
      <c r="A231" s="9"/>
      <c r="B231" s="8"/>
      <c r="C231" s="922">
        <v>45882</v>
      </c>
      <c r="D231" s="923">
        <v>193.29</v>
      </c>
      <c r="E231" s="8"/>
      <c r="F231" s="8"/>
      <c r="G231" s="8"/>
      <c r="H231" s="8"/>
      <c r="I231" s="8"/>
      <c r="J231" s="8"/>
      <c r="K231" s="8"/>
      <c r="L231" s="8"/>
      <c r="M231" s="8"/>
      <c r="N231" s="8"/>
      <c r="O231" s="8"/>
      <c r="P231" s="8"/>
      <c r="T231" s="922">
        <v>45875</v>
      </c>
      <c r="U231" s="923">
        <v>185.91</v>
      </c>
      <c r="V231" s="8"/>
      <c r="W231" s="8"/>
      <c r="X231" s="8"/>
      <c r="Y231" s="8"/>
      <c r="Z231" s="8"/>
      <c r="AA231" s="8"/>
      <c r="AB231" s="8"/>
      <c r="AC231" s="8"/>
    </row>
    <row r="232" ht="13.5" customHeight="1" spans="1:29" x14ac:dyDescent="0.25">
      <c r="A232" s="9"/>
      <c r="B232" s="8"/>
      <c r="C232" s="922">
        <v>45880</v>
      </c>
      <c r="D232" s="923">
        <v>183.71</v>
      </c>
      <c r="E232" s="8"/>
      <c r="F232" s="8"/>
      <c r="G232" s="8"/>
      <c r="H232" s="8"/>
      <c r="I232" s="8"/>
      <c r="J232" s="8"/>
      <c r="K232" s="8"/>
      <c r="L232" s="8"/>
      <c r="M232" s="8"/>
      <c r="N232" s="8"/>
      <c r="O232" s="8"/>
      <c r="P232" s="8"/>
      <c r="T232" s="922">
        <v>45874</v>
      </c>
      <c r="U232" s="923">
        <v>185.4</v>
      </c>
      <c r="V232" s="8"/>
      <c r="W232" s="8"/>
      <c r="X232" s="8"/>
      <c r="Y232" s="8"/>
      <c r="Z232" s="8"/>
      <c r="AA232" s="8"/>
      <c r="AB232" s="8"/>
      <c r="AC232" s="8"/>
    </row>
    <row r="233" ht="13.5" customHeight="1" spans="1:29" x14ac:dyDescent="0.25">
      <c r="A233" s="9"/>
      <c r="B233" s="8"/>
      <c r="C233" s="922">
        <v>45877</v>
      </c>
      <c r="D233" s="923">
        <v>187.22</v>
      </c>
      <c r="E233" s="8"/>
      <c r="F233" s="8"/>
      <c r="G233" s="8"/>
      <c r="H233" s="8"/>
      <c r="I233" s="8"/>
      <c r="J233" s="8"/>
      <c r="K233" s="8"/>
      <c r="L233" s="8"/>
      <c r="M233" s="8"/>
      <c r="N233" s="8"/>
      <c r="O233" s="8"/>
      <c r="P233" s="8"/>
      <c r="T233" s="922">
        <v>45870</v>
      </c>
      <c r="U233" s="923">
        <v>180.86</v>
      </c>
      <c r="V233" s="8"/>
      <c r="W233" s="8"/>
      <c r="X233" s="8"/>
      <c r="Y233" s="8"/>
      <c r="Z233" s="8"/>
      <c r="AA233" s="8"/>
      <c r="AB233" s="8"/>
      <c r="AC233" s="8"/>
    </row>
    <row r="234" ht="13.5" customHeight="1" spans="1:29" x14ac:dyDescent="0.25">
      <c r="A234" s="9"/>
      <c r="B234" s="8"/>
      <c r="C234" s="922">
        <v>45876</v>
      </c>
      <c r="D234" s="923">
        <v>185.91</v>
      </c>
      <c r="E234" s="8"/>
      <c r="F234" s="8"/>
      <c r="G234" s="8"/>
      <c r="H234" s="8"/>
      <c r="I234" s="8"/>
      <c r="J234" s="8"/>
      <c r="K234" s="8"/>
      <c r="L234" s="8"/>
      <c r="M234" s="8"/>
      <c r="N234" s="8"/>
      <c r="O234" s="8"/>
      <c r="P234" s="8"/>
      <c r="T234" s="922">
        <v>45869</v>
      </c>
      <c r="U234" s="923">
        <v>181.06</v>
      </c>
      <c r="V234" s="8"/>
      <c r="W234" s="8"/>
      <c r="X234" s="8"/>
      <c r="Y234" s="8"/>
      <c r="Z234" s="8"/>
      <c r="AA234" s="8"/>
      <c r="AB234" s="8"/>
      <c r="AC234" s="8"/>
    </row>
    <row r="235" ht="13.5" customHeight="1" spans="1:29" x14ac:dyDescent="0.25">
      <c r="A235" s="9"/>
      <c r="B235" s="8"/>
      <c r="C235" s="922">
        <v>45875</v>
      </c>
      <c r="D235" s="923">
        <v>185.91</v>
      </c>
      <c r="E235" s="8"/>
      <c r="F235" s="8"/>
      <c r="G235" s="8"/>
      <c r="H235" s="8"/>
      <c r="I235" s="8"/>
      <c r="J235" s="8"/>
      <c r="K235" s="8"/>
      <c r="L235" s="8"/>
      <c r="M235" s="8"/>
      <c r="N235" s="8"/>
      <c r="O235" s="8"/>
      <c r="P235" s="8"/>
      <c r="T235" s="922">
        <v>45868</v>
      </c>
      <c r="U235" s="923">
        <v>189.52</v>
      </c>
      <c r="V235" s="8"/>
      <c r="W235" s="8"/>
      <c r="X235" s="8"/>
      <c r="Y235" s="8"/>
      <c r="Z235" s="8"/>
      <c r="AA235" s="8"/>
      <c r="AB235" s="8"/>
      <c r="AC235" s="8"/>
    </row>
    <row r="236" ht="13.5" customHeight="1" spans="1:29" x14ac:dyDescent="0.25">
      <c r="A236" s="9"/>
      <c r="B236" s="8"/>
      <c r="C236" s="922">
        <v>45874</v>
      </c>
      <c r="D236" s="923">
        <v>185.4</v>
      </c>
      <c r="E236" s="8"/>
      <c r="F236" s="8"/>
      <c r="G236" s="8"/>
      <c r="H236" s="8"/>
      <c r="I236" s="8"/>
      <c r="J236" s="8"/>
      <c r="K236" s="8"/>
      <c r="L236" s="8"/>
      <c r="M236" s="8"/>
      <c r="N236" s="8"/>
      <c r="O236" s="8"/>
      <c r="P236" s="8"/>
      <c r="T236" s="922">
        <v>45867</v>
      </c>
      <c r="U236" s="923">
        <v>191.38</v>
      </c>
      <c r="V236" s="8"/>
      <c r="W236" s="8"/>
      <c r="X236" s="8"/>
      <c r="Y236" s="8"/>
      <c r="Z236" s="8"/>
      <c r="AA236" s="8"/>
      <c r="AB236" s="8"/>
      <c r="AC236" s="8"/>
    </row>
    <row r="237" ht="13.5" customHeight="1" spans="1:29" x14ac:dyDescent="0.25">
      <c r="A237" s="9"/>
      <c r="B237" s="8"/>
      <c r="C237" s="922">
        <v>45870</v>
      </c>
      <c r="D237" s="923">
        <v>180.86</v>
      </c>
      <c r="E237" s="8"/>
      <c r="F237" s="8"/>
      <c r="G237" s="8"/>
      <c r="H237" s="8"/>
      <c r="I237" s="8"/>
      <c r="J237" s="8"/>
      <c r="K237" s="8"/>
      <c r="L237" s="8"/>
      <c r="M237" s="8"/>
      <c r="N237" s="8"/>
      <c r="O237" s="8"/>
      <c r="P237" s="8"/>
      <c r="T237" s="922">
        <v>45866</v>
      </c>
      <c r="U237" s="923">
        <v>189.25</v>
      </c>
      <c r="V237" s="8"/>
      <c r="W237" s="8"/>
      <c r="X237" s="8"/>
      <c r="Y237" s="8"/>
      <c r="Z237" s="8"/>
      <c r="AA237" s="8"/>
      <c r="AB237" s="8"/>
      <c r="AC237" s="8"/>
    </row>
    <row r="238" ht="13.5" customHeight="1" spans="1:29" x14ac:dyDescent="0.25">
      <c r="A238" s="9"/>
      <c r="B238" s="8"/>
      <c r="C238" s="922">
        <v>45869</v>
      </c>
      <c r="D238" s="923">
        <v>181.06</v>
      </c>
      <c r="E238" s="8"/>
      <c r="F238" s="8"/>
      <c r="G238" s="8"/>
      <c r="H238" s="8"/>
      <c r="I238" s="8"/>
      <c r="J238" s="8"/>
      <c r="K238" s="8"/>
      <c r="L238" s="8"/>
      <c r="M238" s="8"/>
      <c r="N238" s="8"/>
      <c r="O238" s="8"/>
      <c r="P238" s="8"/>
      <c r="T238" s="922">
        <v>45862</v>
      </c>
      <c r="U238" s="923">
        <v>185.69</v>
      </c>
      <c r="V238" s="8"/>
      <c r="W238" s="8"/>
      <c r="X238" s="8"/>
      <c r="Y238" s="8"/>
      <c r="Z238" s="8"/>
      <c r="AA238" s="8"/>
      <c r="AB238" s="8"/>
      <c r="AC238" s="8"/>
    </row>
    <row r="239" ht="13.5" customHeight="1" spans="1:29" x14ac:dyDescent="0.25">
      <c r="A239" s="9"/>
      <c r="B239" s="8"/>
      <c r="C239" s="922">
        <v>45868</v>
      </c>
      <c r="D239" s="923">
        <v>189.52</v>
      </c>
      <c r="E239" s="8"/>
      <c r="F239" s="8"/>
      <c r="G239" s="8"/>
      <c r="H239" s="8"/>
      <c r="I239" s="8"/>
      <c r="J239" s="8"/>
      <c r="K239" s="8"/>
      <c r="L239" s="8"/>
      <c r="M239" s="8"/>
      <c r="N239" s="8"/>
      <c r="O239" s="8"/>
      <c r="P239" s="8"/>
      <c r="T239" s="922">
        <v>45861</v>
      </c>
      <c r="U239" s="923">
        <v>186.25</v>
      </c>
      <c r="V239" s="8"/>
      <c r="W239" s="8"/>
      <c r="X239" s="8"/>
      <c r="Y239" s="8"/>
      <c r="Z239" s="8"/>
      <c r="AA239" s="8"/>
      <c r="AB239" s="8"/>
      <c r="AC239" s="8"/>
    </row>
    <row r="240" ht="13.5" customHeight="1" spans="1:29" x14ac:dyDescent="0.25">
      <c r="A240" s="9"/>
      <c r="B240" s="8"/>
      <c r="C240" s="922">
        <v>45867</v>
      </c>
      <c r="D240" s="923">
        <v>191.38</v>
      </c>
      <c r="E240" s="8"/>
      <c r="F240" s="8"/>
      <c r="G240" s="8"/>
      <c r="H240" s="8"/>
      <c r="I240" s="8"/>
      <c r="J240" s="8"/>
      <c r="K240" s="8"/>
      <c r="L240" s="8"/>
      <c r="M240" s="8"/>
      <c r="N240" s="8"/>
      <c r="O240" s="8"/>
      <c r="P240" s="8"/>
      <c r="T240" s="922">
        <v>45860</v>
      </c>
      <c r="U240" s="923">
        <v>214.92</v>
      </c>
      <c r="V240" s="8"/>
      <c r="W240" s="8"/>
      <c r="X240" s="8"/>
      <c r="Y240" s="8"/>
      <c r="Z240" s="8"/>
      <c r="AA240" s="8"/>
      <c r="AB240" s="8"/>
      <c r="AC240" s="8"/>
    </row>
    <row r="241" ht="13.5" customHeight="1" spans="1:29" x14ac:dyDescent="0.25">
      <c r="A241" s="9"/>
      <c r="B241" s="8"/>
      <c r="C241" s="922">
        <v>45866</v>
      </c>
      <c r="D241" s="923">
        <v>189.25</v>
      </c>
      <c r="E241" s="8"/>
      <c r="F241" s="8"/>
      <c r="G241" s="8"/>
      <c r="H241" s="8"/>
      <c r="I241" s="8"/>
      <c r="J241" s="8"/>
      <c r="K241" s="8"/>
      <c r="L241" s="8"/>
      <c r="M241" s="8"/>
      <c r="N241" s="8"/>
      <c r="O241" s="8"/>
      <c r="P241" s="8"/>
      <c r="T241" s="922">
        <v>45859</v>
      </c>
      <c r="U241" s="923">
        <v>214.57</v>
      </c>
      <c r="V241" s="8"/>
      <c r="W241" s="8"/>
      <c r="X241" s="8"/>
      <c r="Y241" s="8"/>
      <c r="Z241" s="8"/>
      <c r="AA241" s="8"/>
      <c r="AB241" s="8"/>
      <c r="AC241" s="8"/>
    </row>
    <row r="242" ht="13.5" customHeight="1" spans="1:29" x14ac:dyDescent="0.25">
      <c r="A242" s="9"/>
      <c r="B242" s="8"/>
      <c r="C242" s="922">
        <v>45862</v>
      </c>
      <c r="D242" s="923">
        <v>185.69</v>
      </c>
      <c r="E242" s="8"/>
      <c r="F242" s="8"/>
      <c r="G242" s="8"/>
      <c r="H242" s="8"/>
      <c r="I242" s="8"/>
      <c r="J242" s="8"/>
      <c r="K242" s="8"/>
      <c r="L242" s="8"/>
      <c r="M242" s="8"/>
      <c r="N242" s="8"/>
      <c r="O242" s="8"/>
      <c r="P242" s="8"/>
      <c r="T242" s="922">
        <v>45856</v>
      </c>
      <c r="U242" s="923">
        <v>216.62</v>
      </c>
      <c r="V242" s="8"/>
      <c r="W242" s="8"/>
      <c r="X242" s="8"/>
      <c r="Y242" s="8"/>
      <c r="Z242" s="8"/>
      <c r="AA242" s="8"/>
      <c r="AB242" s="8"/>
      <c r="AC242" s="8"/>
    </row>
    <row r="243" ht="13.5" customHeight="1" spans="1:29" x14ac:dyDescent="0.25">
      <c r="A243" s="9"/>
      <c r="B243" s="8"/>
      <c r="C243" s="922">
        <v>45861</v>
      </c>
      <c r="D243" s="923">
        <v>186.25</v>
      </c>
      <c r="E243" s="8"/>
      <c r="F243" s="8"/>
      <c r="G243" s="8"/>
      <c r="H243" s="8"/>
      <c r="I243" s="8"/>
      <c r="J243" s="8"/>
      <c r="K243" s="8"/>
      <c r="L243" s="8"/>
      <c r="M243" s="8"/>
      <c r="N243" s="8"/>
      <c r="O243" s="8"/>
      <c r="P243" s="8"/>
      <c r="T243" s="922">
        <v>45854</v>
      </c>
      <c r="U243" s="923">
        <v>216.64</v>
      </c>
      <c r="V243" s="8"/>
      <c r="W243" s="8"/>
      <c r="X243" s="8"/>
      <c r="Y243" s="8"/>
      <c r="Z243" s="8"/>
      <c r="AA243" s="8"/>
      <c r="AB243" s="8"/>
      <c r="AC243" s="8"/>
    </row>
    <row r="244" ht="13.5" customHeight="1" spans="1:29" x14ac:dyDescent="0.25">
      <c r="A244" s="9"/>
      <c r="B244" s="8"/>
      <c r="C244" s="922">
        <v>45860</v>
      </c>
      <c r="D244" s="923">
        <v>214.92</v>
      </c>
      <c r="E244" s="8"/>
      <c r="F244" s="8"/>
      <c r="G244" s="8"/>
      <c r="H244" s="8"/>
      <c r="I244" s="8"/>
      <c r="J244" s="8"/>
      <c r="K244" s="8"/>
      <c r="L244" s="8"/>
      <c r="M244" s="8"/>
      <c r="N244" s="8"/>
      <c r="O244" s="8"/>
      <c r="P244" s="8"/>
      <c r="T244" s="922">
        <v>45853</v>
      </c>
      <c r="U244" s="923">
        <v>218.36</v>
      </c>
      <c r="V244" s="8"/>
      <c r="W244" s="8"/>
      <c r="X244" s="8"/>
      <c r="Y244" s="8"/>
      <c r="Z244" s="8"/>
      <c r="AA244" s="8"/>
      <c r="AB244" s="8"/>
      <c r="AC244" s="8"/>
    </row>
    <row r="245" ht="13.5" customHeight="1" spans="1:29" x14ac:dyDescent="0.25">
      <c r="A245" s="9"/>
      <c r="B245" s="8"/>
      <c r="C245" s="922">
        <v>45859</v>
      </c>
      <c r="D245" s="923">
        <v>214.57</v>
      </c>
      <c r="E245" s="8"/>
      <c r="F245" s="8"/>
      <c r="G245" s="8"/>
      <c r="H245" s="8"/>
      <c r="I245" s="8"/>
      <c r="J245" s="8"/>
      <c r="K245" s="8"/>
      <c r="L245" s="8"/>
      <c r="M245" s="8"/>
      <c r="N245" s="8"/>
      <c r="O245" s="8"/>
      <c r="P245" s="8"/>
      <c r="T245" s="922">
        <v>45852</v>
      </c>
      <c r="U245" s="923">
        <v>220.05</v>
      </c>
      <c r="V245" s="8"/>
      <c r="W245" s="8"/>
      <c r="X245" s="8"/>
      <c r="Y245" s="8"/>
      <c r="Z245" s="8"/>
      <c r="AA245" s="8"/>
      <c r="AB245" s="8"/>
      <c r="AC245" s="8"/>
    </row>
    <row r="246" ht="13.5" customHeight="1" spans="1:29" x14ac:dyDescent="0.25">
      <c r="A246" s="9"/>
      <c r="B246" s="8"/>
      <c r="C246" s="922">
        <v>45856</v>
      </c>
      <c r="D246" s="923">
        <v>216.62</v>
      </c>
      <c r="E246" s="8"/>
      <c r="F246" s="8"/>
      <c r="G246" s="8"/>
      <c r="H246" s="8"/>
      <c r="I246" s="8"/>
      <c r="J246" s="8"/>
      <c r="K246" s="8"/>
      <c r="L246" s="8"/>
      <c r="M246" s="8"/>
      <c r="N246" s="8"/>
      <c r="O246" s="8"/>
      <c r="P246" s="8"/>
      <c r="T246" s="922">
        <v>45849</v>
      </c>
      <c r="U246" s="923">
        <v>221.25</v>
      </c>
      <c r="V246" s="8"/>
      <c r="W246" s="8"/>
      <c r="X246" s="8"/>
      <c r="Y246" s="8"/>
      <c r="Z246" s="8"/>
      <c r="AA246" s="8"/>
      <c r="AB246" s="8"/>
      <c r="AC246" s="8"/>
    </row>
    <row r="247" ht="13.5" customHeight="1" spans="1:29" x14ac:dyDescent="0.25">
      <c r="A247" s="9"/>
      <c r="B247" s="8"/>
      <c r="C247" s="922">
        <v>45854</v>
      </c>
      <c r="D247" s="923">
        <v>216.64</v>
      </c>
      <c r="E247" s="8"/>
      <c r="F247" s="8"/>
      <c r="G247" s="8"/>
      <c r="H247" s="8"/>
      <c r="I247" s="8"/>
      <c r="J247" s="8"/>
      <c r="K247" s="8"/>
      <c r="L247" s="8"/>
      <c r="M247" s="8"/>
      <c r="N247" s="8"/>
      <c r="O247" s="8"/>
      <c r="P247" s="8"/>
      <c r="T247" s="922">
        <v>45847</v>
      </c>
      <c r="U247" s="923">
        <v>216.39</v>
      </c>
      <c r="V247" s="8"/>
      <c r="W247" s="8"/>
      <c r="X247" s="8"/>
      <c r="Y247" s="8"/>
      <c r="Z247" s="8"/>
      <c r="AA247" s="8"/>
      <c r="AB247" s="8"/>
      <c r="AC247" s="8"/>
    </row>
    <row r="248" ht="13.5" customHeight="1" spans="1:29" x14ac:dyDescent="0.25">
      <c r="A248" s="9"/>
      <c r="B248" s="8"/>
      <c r="C248" s="922">
        <v>45853</v>
      </c>
      <c r="D248" s="923">
        <v>218.36</v>
      </c>
      <c r="E248" s="8"/>
      <c r="F248" s="8"/>
      <c r="G248" s="8"/>
      <c r="H248" s="8"/>
      <c r="I248" s="8"/>
      <c r="J248" s="8"/>
      <c r="K248" s="8"/>
      <c r="L248" s="8"/>
      <c r="M248" s="8"/>
      <c r="N248" s="8"/>
      <c r="O248" s="8"/>
      <c r="P248" s="8"/>
      <c r="T248" s="922">
        <v>45846</v>
      </c>
      <c r="U248" s="923">
        <v>216.63</v>
      </c>
      <c r="V248" s="8"/>
      <c r="W248" s="8"/>
      <c r="X248" s="8"/>
      <c r="Y248" s="8"/>
      <c r="Z248" s="8"/>
      <c r="AA248" s="8"/>
      <c r="AB248" s="8"/>
      <c r="AC248" s="8"/>
    </row>
    <row r="249" ht="13.5" customHeight="1" spans="1:29" x14ac:dyDescent="0.25">
      <c r="A249" s="9"/>
      <c r="B249" s="8"/>
      <c r="C249" s="922">
        <v>45852</v>
      </c>
      <c r="D249" s="923">
        <v>220.05</v>
      </c>
      <c r="E249" s="8"/>
      <c r="F249" s="8"/>
      <c r="G249" s="8"/>
      <c r="H249" s="8"/>
      <c r="I249" s="8"/>
      <c r="J249" s="8"/>
      <c r="K249" s="8"/>
      <c r="L249" s="8"/>
      <c r="M249" s="8"/>
      <c r="N249" s="8"/>
      <c r="O249" s="8"/>
      <c r="P249" s="8"/>
      <c r="T249" s="922">
        <v>45845</v>
      </c>
      <c r="U249" s="923">
        <v>213.41</v>
      </c>
      <c r="V249" s="8"/>
      <c r="W249" s="8"/>
      <c r="X249" s="8"/>
      <c r="Y249" s="8"/>
      <c r="Z249" s="8"/>
      <c r="AA249" s="8"/>
      <c r="AB249" s="8"/>
      <c r="AC249" s="8"/>
    </row>
    <row r="250" ht="13.5" customHeight="1" spans="1:29" x14ac:dyDescent="0.25">
      <c r="A250" s="9"/>
      <c r="B250" s="8"/>
      <c r="C250" s="922">
        <v>45849</v>
      </c>
      <c r="D250" s="923">
        <v>221.25</v>
      </c>
      <c r="E250" s="8"/>
      <c r="F250" s="8"/>
      <c r="G250" s="8"/>
      <c r="H250" s="8"/>
      <c r="I250" s="8"/>
      <c r="J250" s="8"/>
      <c r="K250" s="8"/>
      <c r="L250" s="8"/>
      <c r="M250" s="8"/>
      <c r="N250" s="8"/>
      <c r="O250" s="8"/>
      <c r="P250" s="8"/>
      <c r="T250" s="922">
        <v>45841</v>
      </c>
      <c r="U250" s="923">
        <v>216.02</v>
      </c>
      <c r="V250" s="8"/>
      <c r="W250" s="8"/>
      <c r="X250" s="8"/>
      <c r="Y250" s="8"/>
      <c r="Z250" s="8"/>
      <c r="AA250" s="8"/>
      <c r="AB250" s="8"/>
      <c r="AC250" s="8"/>
    </row>
    <row r="251" ht="13.5" customHeight="1" spans="1:29" x14ac:dyDescent="0.25">
      <c r="A251" s="9"/>
      <c r="B251" s="8"/>
      <c r="C251" s="922">
        <v>45847</v>
      </c>
      <c r="D251" s="923">
        <v>216.39</v>
      </c>
      <c r="E251" s="8"/>
      <c r="F251" s="8"/>
      <c r="G251" s="8"/>
      <c r="H251" s="8"/>
      <c r="I251" s="8"/>
      <c r="J251" s="8"/>
      <c r="K251" s="8"/>
      <c r="L251" s="8"/>
      <c r="M251" s="8"/>
      <c r="N251" s="8"/>
      <c r="O251" s="8"/>
      <c r="P251" s="8"/>
      <c r="T251" s="922">
        <v>45840</v>
      </c>
      <c r="U251" s="923">
        <v>215.59</v>
      </c>
      <c r="V251" s="8"/>
      <c r="W251" s="8"/>
      <c r="X251" s="8"/>
      <c r="Y251" s="8"/>
      <c r="Z251" s="8"/>
      <c r="AA251" s="8"/>
      <c r="AB251" s="8"/>
      <c r="AC251" s="8"/>
    </row>
    <row r="252" ht="13.5" customHeight="1" spans="1:29" x14ac:dyDescent="0.25">
      <c r="A252" s="9"/>
      <c r="B252" s="8"/>
      <c r="C252" s="922">
        <v>45846</v>
      </c>
      <c r="D252" s="923">
        <v>216.63</v>
      </c>
      <c r="E252" s="8"/>
      <c r="F252" s="8"/>
      <c r="G252" s="8"/>
      <c r="H252" s="8"/>
      <c r="I252" s="8"/>
      <c r="J252" s="8"/>
      <c r="K252" s="8"/>
      <c r="L252" s="8"/>
      <c r="M252" s="8"/>
      <c r="N252" s="8"/>
      <c r="O252" s="8"/>
      <c r="P252" s="8"/>
      <c r="T252" s="922">
        <v>45838</v>
      </c>
      <c r="U252" s="923">
        <v>207.62</v>
      </c>
      <c r="V252" s="8"/>
      <c r="W252" s="8"/>
      <c r="X252" s="8"/>
      <c r="Y252" s="8"/>
      <c r="Z252" s="8"/>
      <c r="AA252" s="8"/>
      <c r="AB252" s="8"/>
      <c r="AC252" s="8"/>
    </row>
    <row r="253" ht="13.5" customHeight="1" spans="1:29" x14ac:dyDescent="0.25">
      <c r="A253" s="9"/>
      <c r="B253" s="8"/>
      <c r="C253" s="922">
        <v>45845</v>
      </c>
      <c r="D253" s="923">
        <v>213.41</v>
      </c>
      <c r="E253" s="8"/>
      <c r="F253" s="8"/>
      <c r="G253" s="8"/>
      <c r="H253" s="8"/>
      <c r="I253" s="8"/>
      <c r="J253" s="8"/>
      <c r="K253" s="8"/>
      <c r="L253" s="8"/>
      <c r="M253" s="8"/>
      <c r="N253" s="8"/>
      <c r="O253" s="8"/>
      <c r="P253" s="8"/>
      <c r="T253" s="922">
        <v>45835</v>
      </c>
      <c r="U253" s="923">
        <v>207.08</v>
      </c>
      <c r="V253" s="8"/>
      <c r="W253" s="8"/>
      <c r="X253" s="8"/>
      <c r="Y253" s="8"/>
      <c r="Z253" s="8"/>
      <c r="AA253" s="8"/>
      <c r="AB253" s="8"/>
      <c r="AC253" s="8"/>
    </row>
    <row r="254" ht="13.5" customHeight="1" spans="1:29" x14ac:dyDescent="0.25">
      <c r="A254" s="9"/>
      <c r="B254" s="8"/>
      <c r="C254" s="922">
        <v>45841</v>
      </c>
      <c r="D254" s="923">
        <v>216.02</v>
      </c>
      <c r="E254" s="8"/>
      <c r="F254" s="8"/>
      <c r="G254" s="8"/>
      <c r="H254" s="8"/>
      <c r="I254" s="8"/>
      <c r="J254" s="8"/>
      <c r="K254" s="8"/>
      <c r="L254" s="8"/>
      <c r="M254" s="8"/>
      <c r="N254" s="8"/>
      <c r="O254" s="8"/>
      <c r="P254" s="8"/>
      <c r="T254" s="922">
        <v>45834</v>
      </c>
      <c r="U254" s="923">
        <v>206.31</v>
      </c>
      <c r="V254" s="8"/>
      <c r="W254" s="8"/>
      <c r="X254" s="8"/>
      <c r="Y254" s="8"/>
      <c r="Z254" s="8"/>
      <c r="AA254" s="8"/>
      <c r="AB254" s="8"/>
      <c r="AC254" s="8"/>
    </row>
    <row r="255" ht="13.5" customHeight="1" spans="1:29" x14ac:dyDescent="0.25">
      <c r="A255" s="9"/>
      <c r="B255" s="8"/>
      <c r="C255" s="922">
        <v>45840</v>
      </c>
      <c r="D255" s="923">
        <v>215.59</v>
      </c>
      <c r="E255" s="8"/>
      <c r="F255" s="8"/>
      <c r="G255" s="8"/>
      <c r="H255" s="8"/>
      <c r="I255" s="8"/>
      <c r="J255" s="8"/>
      <c r="K255" s="8"/>
      <c r="L255" s="8"/>
      <c r="M255" s="8"/>
      <c r="N255" s="8"/>
      <c r="O255" s="8"/>
      <c r="P255" s="8"/>
      <c r="T255" s="922">
        <v>45833</v>
      </c>
      <c r="U255" s="923">
        <v>205.38</v>
      </c>
      <c r="V255" s="8"/>
      <c r="W255" s="8"/>
      <c r="X255" s="8"/>
      <c r="Y255" s="8"/>
      <c r="Z255" s="8"/>
      <c r="AA255" s="8"/>
      <c r="AB255" s="8"/>
      <c r="AC255" s="8"/>
    </row>
    <row r="256" ht="13.5" customHeight="1" spans="1:29" x14ac:dyDescent="0.25">
      <c r="A256" s="9"/>
      <c r="B256" s="8"/>
      <c r="C256" s="922">
        <v>45838</v>
      </c>
      <c r="D256" s="923">
        <v>207.62</v>
      </c>
      <c r="E256" s="8"/>
      <c r="F256" s="8"/>
      <c r="G256" s="8"/>
      <c r="H256" s="8"/>
      <c r="I256" s="8"/>
      <c r="J256" s="8"/>
      <c r="K256" s="8"/>
      <c r="L256" s="8"/>
      <c r="M256" s="8"/>
      <c r="N256" s="8"/>
      <c r="O256" s="8"/>
      <c r="P256" s="8"/>
      <c r="T256" s="922">
        <v>45831</v>
      </c>
      <c r="U256" s="923">
        <v>201.39</v>
      </c>
      <c r="V256" s="8"/>
      <c r="W256" s="8"/>
      <c r="X256" s="8"/>
      <c r="Y256" s="8"/>
      <c r="Z256" s="8"/>
      <c r="AA256" s="8"/>
      <c r="AB256" s="8"/>
      <c r="AC256" s="8"/>
    </row>
    <row r="257" ht="13.5" customHeight="1" spans="1:29" x14ac:dyDescent="0.25">
      <c r="A257" s="9"/>
      <c r="B257" s="8"/>
      <c r="C257" s="922">
        <v>45835</v>
      </c>
      <c r="D257" s="923">
        <v>207.08</v>
      </c>
      <c r="E257" s="8"/>
      <c r="F257" s="8"/>
      <c r="G257" s="8"/>
      <c r="H257" s="8"/>
      <c r="I257" s="8"/>
      <c r="J257" s="8"/>
      <c r="K257" s="8"/>
      <c r="L257" s="8"/>
      <c r="M257" s="8"/>
      <c r="N257" s="8"/>
      <c r="O257" s="8"/>
      <c r="P257" s="8"/>
      <c r="T257" s="922">
        <v>45828</v>
      </c>
      <c r="U257" s="923">
        <v>198.2</v>
      </c>
      <c r="V257" s="8"/>
      <c r="W257" s="8"/>
      <c r="X257" s="8"/>
      <c r="Y257" s="8"/>
      <c r="Z257" s="8"/>
      <c r="AA257" s="8"/>
      <c r="AB257" s="8"/>
      <c r="AC257" s="8"/>
    </row>
    <row r="258" ht="13.5" customHeight="1" spans="1:29" x14ac:dyDescent="0.25">
      <c r="A258" s="9"/>
      <c r="B258" s="8"/>
      <c r="C258" s="922">
        <v>45834</v>
      </c>
      <c r="D258" s="923">
        <v>206.31</v>
      </c>
      <c r="E258" s="8"/>
      <c r="F258" s="8"/>
      <c r="G258" s="8"/>
      <c r="H258" s="8"/>
      <c r="I258" s="8"/>
      <c r="J258" s="8"/>
      <c r="K258" s="8"/>
      <c r="L258" s="8"/>
      <c r="M258" s="8"/>
      <c r="N258" s="8"/>
      <c r="O258" s="8"/>
      <c r="P258" s="8"/>
      <c r="T258" s="922">
        <v>45826</v>
      </c>
      <c r="U258" s="923">
        <v>198.35</v>
      </c>
      <c r="V258" s="8"/>
      <c r="W258" s="8"/>
      <c r="X258" s="8"/>
      <c r="Y258" s="8"/>
      <c r="Z258" s="8"/>
      <c r="AA258" s="8"/>
      <c r="AB258" s="8"/>
      <c r="AC258" s="8"/>
    </row>
    <row r="259" ht="13.5" customHeight="1" spans="1:29" x14ac:dyDescent="0.25">
      <c r="A259" s="9"/>
      <c r="B259" s="8"/>
      <c r="C259" s="922">
        <v>45833</v>
      </c>
      <c r="D259" s="923">
        <v>205.38</v>
      </c>
      <c r="E259" s="8"/>
      <c r="F259" s="8"/>
      <c r="G259" s="8"/>
      <c r="H259" s="8"/>
      <c r="I259" s="8"/>
      <c r="J259" s="8"/>
      <c r="K259" s="8"/>
      <c r="L259" s="8"/>
      <c r="M259" s="8"/>
      <c r="N259" s="8"/>
      <c r="O259" s="8"/>
      <c r="P259" s="8"/>
      <c r="T259" s="922">
        <v>45825</v>
      </c>
      <c r="U259" s="923">
        <v>197.69</v>
      </c>
      <c r="V259" s="8"/>
      <c r="W259" s="8"/>
      <c r="X259" s="8"/>
      <c r="Y259" s="8"/>
      <c r="Z259" s="8"/>
      <c r="AA259" s="8"/>
      <c r="AB259" s="8"/>
      <c r="AC259" s="8"/>
    </row>
    <row r="260" ht="13.5" customHeight="1" spans="1:29" x14ac:dyDescent="0.25">
      <c r="A260" s="9"/>
      <c r="B260" s="8"/>
      <c r="C260" s="922">
        <v>45831</v>
      </c>
      <c r="D260" s="923">
        <v>201.39</v>
      </c>
      <c r="E260" s="8"/>
      <c r="F260" s="8"/>
      <c r="G260" s="8"/>
      <c r="H260" s="8"/>
      <c r="I260" s="8"/>
      <c r="J260" s="8"/>
      <c r="K260" s="8"/>
      <c r="L260" s="8"/>
      <c r="M260" s="8"/>
      <c r="N260" s="8"/>
      <c r="O260" s="8"/>
      <c r="P260" s="8"/>
      <c r="T260" s="922">
        <v>45824</v>
      </c>
      <c r="U260" s="923">
        <v>199.22</v>
      </c>
      <c r="V260" s="8"/>
      <c r="W260" s="8"/>
      <c r="X260" s="8"/>
      <c r="Y260" s="8"/>
      <c r="Z260" s="8"/>
      <c r="AA260" s="8"/>
      <c r="AB260" s="8"/>
      <c r="AC260" s="8"/>
    </row>
    <row r="261" ht="13.5" customHeight="1" spans="1:29" x14ac:dyDescent="0.25">
      <c r="A261" s="9"/>
      <c r="B261" s="8"/>
      <c r="C261" s="922">
        <v>45828</v>
      </c>
      <c r="D261" s="923">
        <v>198.2</v>
      </c>
      <c r="E261" s="8"/>
      <c r="F261" s="8"/>
      <c r="G261" s="8"/>
      <c r="H261" s="8"/>
      <c r="I261" s="8"/>
      <c r="J261" s="8"/>
      <c r="K261" s="8"/>
      <c r="L261" s="8"/>
      <c r="M261" s="8"/>
      <c r="N261" s="8"/>
      <c r="O261" s="8"/>
      <c r="P261" s="8"/>
      <c r="T261" s="922">
        <v>45820</v>
      </c>
      <c r="U261" s="923">
        <v>199.66</v>
      </c>
      <c r="V261" s="8"/>
      <c r="W261" s="8"/>
      <c r="X261" s="8"/>
      <c r="Y261" s="8"/>
      <c r="Z261" s="8"/>
      <c r="AA261" s="8"/>
      <c r="AB261" s="8"/>
      <c r="AC261" s="8"/>
    </row>
    <row r="262" ht="13.5" customHeight="1" spans="1:29" x14ac:dyDescent="0.25">
      <c r="A262" s="9"/>
      <c r="B262" s="8"/>
      <c r="C262" s="922">
        <v>45826</v>
      </c>
      <c r="D262" s="923">
        <v>198.35</v>
      </c>
      <c r="E262" s="8"/>
      <c r="F262" s="8"/>
      <c r="G262" s="8"/>
      <c r="H262" s="8"/>
      <c r="I262" s="8"/>
      <c r="J262" s="8"/>
      <c r="K262" s="8"/>
      <c r="L262" s="8"/>
      <c r="M262" s="8"/>
      <c r="N262" s="8"/>
      <c r="O262" s="8"/>
      <c r="P262" s="8"/>
      <c r="T262" s="922">
        <v>45819</v>
      </c>
      <c r="U262" s="923">
        <v>199.69</v>
      </c>
      <c r="V262" s="8"/>
      <c r="W262" s="8"/>
      <c r="X262" s="8"/>
      <c r="Y262" s="8"/>
      <c r="Z262" s="8"/>
      <c r="AA262" s="8"/>
      <c r="AB262" s="8"/>
      <c r="AC262" s="8"/>
    </row>
    <row r="263" ht="13.5" customHeight="1" spans="1:29" x14ac:dyDescent="0.25">
      <c r="A263" s="9"/>
      <c r="B263" s="8"/>
      <c r="C263" s="922">
        <v>45825</v>
      </c>
      <c r="D263" s="923">
        <v>197.69</v>
      </c>
      <c r="E263" s="8"/>
      <c r="F263" s="8"/>
      <c r="G263" s="8"/>
      <c r="H263" s="8"/>
      <c r="I263" s="8"/>
      <c r="J263" s="8"/>
      <c r="K263" s="8"/>
      <c r="L263" s="8"/>
      <c r="M263" s="8"/>
      <c r="N263" s="8"/>
      <c r="O263" s="8"/>
      <c r="P263" s="8"/>
      <c r="T263" s="922">
        <v>45818</v>
      </c>
      <c r="U263" s="923">
        <v>202.29</v>
      </c>
      <c r="V263" s="8"/>
      <c r="W263" s="8"/>
      <c r="X263" s="8"/>
      <c r="Y263" s="8"/>
      <c r="Z263" s="8"/>
      <c r="AA263" s="8"/>
      <c r="AB263" s="8"/>
      <c r="AC263" s="8"/>
    </row>
    <row r="264" ht="13.5" customHeight="1" spans="1:29" x14ac:dyDescent="0.25">
      <c r="A264" s="9"/>
      <c r="B264" s="8"/>
      <c r="C264" s="922">
        <v>45824</v>
      </c>
      <c r="D264" s="923">
        <v>199.22</v>
      </c>
      <c r="E264" s="8"/>
      <c r="F264" s="8"/>
      <c r="G264" s="8"/>
      <c r="H264" s="8"/>
      <c r="I264" s="8"/>
      <c r="J264" s="8"/>
      <c r="K264" s="8"/>
      <c r="L264" s="8"/>
      <c r="M264" s="8"/>
      <c r="N264" s="8"/>
      <c r="O264" s="8"/>
      <c r="P264" s="8"/>
      <c r="T264" s="922">
        <v>45817</v>
      </c>
      <c r="U264" s="923">
        <v>199.21</v>
      </c>
      <c r="V264" s="8"/>
      <c r="W264" s="8"/>
      <c r="X264" s="8"/>
      <c r="Y264" s="8"/>
      <c r="Z264" s="8"/>
      <c r="AA264" s="8"/>
      <c r="AB264" s="8"/>
      <c r="AC264" s="8"/>
    </row>
    <row r="265" ht="13.5" customHeight="1" spans="1:29" x14ac:dyDescent="0.25">
      <c r="A265" s="9"/>
      <c r="B265" s="8"/>
      <c r="C265" s="922">
        <v>45820</v>
      </c>
      <c r="D265" s="923">
        <v>199.66</v>
      </c>
      <c r="E265" s="8"/>
      <c r="F265" s="8"/>
      <c r="G265" s="8"/>
      <c r="H265" s="8"/>
      <c r="I265" s="8"/>
      <c r="J265" s="8"/>
      <c r="K265" s="8"/>
      <c r="L265" s="8"/>
      <c r="M265" s="8"/>
      <c r="N265" s="8"/>
      <c r="O265" s="8"/>
      <c r="P265" s="8"/>
      <c r="T265" s="922">
        <v>45814</v>
      </c>
      <c r="U265" s="923">
        <v>192.42</v>
      </c>
      <c r="V265" s="8"/>
      <c r="W265" s="8"/>
      <c r="X265" s="8"/>
      <c r="Y265" s="8"/>
      <c r="Z265" s="8"/>
      <c r="AA265" s="8"/>
      <c r="AB265" s="8"/>
      <c r="AC265" s="8"/>
    </row>
    <row r="266" ht="13.5" customHeight="1" spans="1:29" x14ac:dyDescent="0.25">
      <c r="A266" s="9"/>
      <c r="B266" s="8"/>
      <c r="C266" s="922">
        <v>45819</v>
      </c>
      <c r="D266" s="923">
        <v>199.69</v>
      </c>
      <c r="E266" s="8"/>
      <c r="F266" s="8"/>
      <c r="G266" s="8"/>
      <c r="H266" s="8"/>
      <c r="I266" s="8"/>
      <c r="J266" s="8"/>
      <c r="K266" s="8"/>
      <c r="L266" s="8"/>
      <c r="M266" s="8"/>
      <c r="N266" s="8"/>
      <c r="O266" s="8"/>
      <c r="P266" s="8"/>
      <c r="T266" s="922">
        <v>45812</v>
      </c>
      <c r="U266" s="923">
        <v>190.72</v>
      </c>
      <c r="V266" s="8"/>
      <c r="W266" s="8"/>
      <c r="X266" s="8"/>
      <c r="Y266" s="8"/>
      <c r="Z266" s="8"/>
      <c r="AA266" s="8"/>
      <c r="AB266" s="8"/>
      <c r="AC266" s="8"/>
    </row>
    <row r="267" ht="13.5" customHeight="1" spans="1:29" x14ac:dyDescent="0.25">
      <c r="A267" s="9"/>
      <c r="B267" s="8"/>
      <c r="C267" s="922">
        <v>45818</v>
      </c>
      <c r="D267" s="923">
        <v>202.29</v>
      </c>
      <c r="E267" s="8"/>
      <c r="F267" s="8"/>
      <c r="G267" s="8"/>
      <c r="H267" s="8"/>
      <c r="I267" s="8"/>
      <c r="J267" s="8"/>
      <c r="K267" s="8"/>
      <c r="L267" s="8"/>
      <c r="M267" s="8"/>
      <c r="N267" s="8"/>
      <c r="O267" s="8"/>
      <c r="P267" s="8"/>
      <c r="T267" s="922">
        <v>45811</v>
      </c>
      <c r="U267" s="923">
        <v>188.08</v>
      </c>
      <c r="V267" s="8"/>
      <c r="W267" s="8"/>
      <c r="X267" s="8"/>
      <c r="Y267" s="8"/>
      <c r="Z267" s="8"/>
      <c r="AA267" s="8"/>
      <c r="AB267" s="8"/>
      <c r="AC267" s="8"/>
    </row>
    <row r="268" ht="13.5" customHeight="1" spans="1:29" x14ac:dyDescent="0.25">
      <c r="A268" s="9"/>
      <c r="B268" s="8"/>
      <c r="C268" s="922">
        <v>45817</v>
      </c>
      <c r="D268" s="923">
        <v>199.21</v>
      </c>
      <c r="E268" s="8"/>
      <c r="F268" s="8"/>
      <c r="G268" s="8"/>
      <c r="H268" s="8"/>
      <c r="I268" s="8"/>
      <c r="J268" s="8"/>
      <c r="K268" s="8"/>
      <c r="L268" s="8"/>
      <c r="M268" s="8"/>
      <c r="N268" s="8"/>
      <c r="O268" s="8"/>
      <c r="P268" s="8"/>
      <c r="T268" s="922">
        <v>45810</v>
      </c>
      <c r="U268" s="923">
        <v>184.21</v>
      </c>
      <c r="V268" s="8"/>
      <c r="W268" s="8"/>
      <c r="X268" s="8"/>
      <c r="Y268" s="8"/>
      <c r="Z268" s="8"/>
      <c r="AA268" s="8"/>
      <c r="AB268" s="8"/>
      <c r="AC268" s="8"/>
    </row>
    <row r="269" ht="13.5" customHeight="1" spans="1:29" x14ac:dyDescent="0.25">
      <c r="A269" s="9"/>
      <c r="B269" s="8"/>
      <c r="C269" s="922">
        <v>45814</v>
      </c>
      <c r="D269" s="923">
        <v>192.42</v>
      </c>
      <c r="E269" s="8"/>
      <c r="F269" s="8"/>
      <c r="G269" s="8"/>
      <c r="H269" s="8"/>
      <c r="I269" s="8"/>
      <c r="J269" s="8"/>
      <c r="K269" s="8"/>
      <c r="L269" s="8"/>
      <c r="M269" s="8"/>
      <c r="N269" s="8"/>
      <c r="O269" s="8"/>
      <c r="P269" s="8"/>
      <c r="T269" s="922">
        <v>45807</v>
      </c>
      <c r="U269" s="923">
        <v>182.85</v>
      </c>
      <c r="V269" s="8"/>
      <c r="W269" s="8"/>
      <c r="X269" s="8"/>
      <c r="Y269" s="8"/>
      <c r="Z269" s="8"/>
      <c r="AA269" s="8"/>
      <c r="AB269" s="8"/>
      <c r="AC269" s="8"/>
    </row>
    <row r="270" ht="13.5" customHeight="1" spans="1:29" x14ac:dyDescent="0.25">
      <c r="A270" s="9"/>
      <c r="B270" s="8"/>
      <c r="C270" s="922">
        <v>45812</v>
      </c>
      <c r="D270" s="923">
        <v>190.72</v>
      </c>
      <c r="E270" s="8"/>
      <c r="F270" s="8"/>
      <c r="G270" s="8"/>
      <c r="H270" s="8"/>
      <c r="I270" s="8"/>
      <c r="J270" s="8"/>
      <c r="K270" s="8"/>
      <c r="L270" s="8"/>
      <c r="M270" s="8"/>
      <c r="N270" s="8"/>
      <c r="O270" s="8"/>
      <c r="P270" s="8"/>
      <c r="T270" s="922">
        <v>45805</v>
      </c>
      <c r="U270" s="923">
        <v>184.15</v>
      </c>
      <c r="V270" s="8"/>
      <c r="W270" s="8"/>
      <c r="X270" s="8"/>
      <c r="Y270" s="8"/>
      <c r="Z270" s="8"/>
      <c r="AA270" s="8"/>
      <c r="AB270" s="8"/>
      <c r="AC270" s="8"/>
    </row>
    <row r="271" ht="13.5" customHeight="1" spans="1:29" x14ac:dyDescent="0.25">
      <c r="A271" s="9"/>
      <c r="B271" s="8"/>
      <c r="C271" s="922">
        <v>45811</v>
      </c>
      <c r="D271" s="923">
        <v>188.08</v>
      </c>
      <c r="E271" s="8"/>
      <c r="F271" s="8"/>
      <c r="G271" s="8"/>
      <c r="H271" s="8"/>
      <c r="I271" s="8"/>
      <c r="J271" s="8"/>
      <c r="K271" s="8"/>
      <c r="L271" s="8"/>
      <c r="M271" s="8"/>
      <c r="N271" s="8"/>
      <c r="O271" s="8"/>
      <c r="P271" s="8"/>
      <c r="T271" s="922">
        <v>45804</v>
      </c>
      <c r="U271" s="923">
        <v>183.24</v>
      </c>
      <c r="V271" s="8"/>
      <c r="W271" s="8"/>
      <c r="X271" s="8"/>
      <c r="Y271" s="8"/>
      <c r="Z271" s="8"/>
      <c r="AA271" s="8"/>
      <c r="AB271" s="8"/>
      <c r="AC271" s="8"/>
    </row>
    <row r="272" ht="13.5" customHeight="1" spans="1:29" x14ac:dyDescent="0.25">
      <c r="A272" s="9"/>
      <c r="B272" s="8"/>
      <c r="C272" s="922">
        <v>45810</v>
      </c>
      <c r="D272" s="923">
        <v>184.21</v>
      </c>
      <c r="E272" s="8"/>
      <c r="F272" s="8"/>
      <c r="G272" s="8"/>
      <c r="H272" s="8"/>
      <c r="I272" s="8"/>
      <c r="J272" s="8"/>
      <c r="K272" s="8"/>
      <c r="L272" s="8"/>
      <c r="M272" s="8"/>
      <c r="N272" s="8"/>
      <c r="O272" s="8"/>
      <c r="P272" s="8"/>
      <c r="T272" s="922">
        <v>45800</v>
      </c>
      <c r="U272" s="923">
        <v>176.3</v>
      </c>
      <c r="V272" s="8"/>
      <c r="W272" s="8"/>
      <c r="X272" s="8"/>
      <c r="Y272" s="8"/>
      <c r="Z272" s="8"/>
      <c r="AA272" s="8"/>
      <c r="AB272" s="8"/>
      <c r="AC272" s="8"/>
    </row>
    <row r="273" ht="13.5" customHeight="1" spans="1:29" x14ac:dyDescent="0.25">
      <c r="A273" s="9"/>
      <c r="B273" s="8"/>
      <c r="C273" s="922">
        <v>45807</v>
      </c>
      <c r="D273" s="923">
        <v>182.85</v>
      </c>
      <c r="E273" s="8"/>
      <c r="F273" s="8"/>
      <c r="G273" s="8"/>
      <c r="H273" s="8"/>
      <c r="I273" s="8"/>
      <c r="J273" s="8"/>
      <c r="K273" s="8"/>
      <c r="L273" s="8"/>
      <c r="M273" s="8"/>
      <c r="N273" s="8"/>
      <c r="O273" s="8"/>
      <c r="P273" s="8"/>
      <c r="T273" s="922">
        <v>45799</v>
      </c>
      <c r="U273" s="923">
        <v>180.21</v>
      </c>
      <c r="V273" s="8"/>
      <c r="W273" s="8"/>
      <c r="X273" s="8"/>
      <c r="Y273" s="8"/>
      <c r="Z273" s="8"/>
      <c r="AA273" s="8"/>
      <c r="AB273" s="8"/>
      <c r="AC273" s="8"/>
    </row>
    <row r="274" ht="13.5" customHeight="1" spans="1:29" x14ac:dyDescent="0.25">
      <c r="A274" s="9"/>
      <c r="B274" s="8"/>
      <c r="C274" s="922">
        <v>45805</v>
      </c>
      <c r="D274" s="923">
        <v>184.15</v>
      </c>
      <c r="E274" s="8"/>
      <c r="F274" s="8"/>
      <c r="G274" s="8"/>
      <c r="H274" s="8"/>
      <c r="I274" s="8"/>
      <c r="J274" s="8"/>
      <c r="K274" s="8"/>
      <c r="L274" s="8"/>
      <c r="M274" s="8"/>
      <c r="N274" s="8"/>
      <c r="O274" s="8"/>
      <c r="P274" s="8"/>
      <c r="T274" s="922">
        <v>45798</v>
      </c>
      <c r="U274" s="923">
        <v>185.42</v>
      </c>
      <c r="V274" s="8"/>
      <c r="W274" s="8"/>
      <c r="X274" s="8"/>
      <c r="Y274" s="8"/>
      <c r="Z274" s="8"/>
      <c r="AA274" s="8"/>
      <c r="AB274" s="8"/>
      <c r="AC274" s="8"/>
    </row>
    <row r="275" ht="13.5" customHeight="1" spans="1:29" x14ac:dyDescent="0.25">
      <c r="A275" s="9"/>
      <c r="B275" s="8"/>
      <c r="C275" s="922">
        <v>45804</v>
      </c>
      <c r="D275" s="923">
        <v>183.24</v>
      </c>
      <c r="E275" s="8"/>
      <c r="F275" s="8"/>
      <c r="G275" s="8"/>
      <c r="H275" s="8"/>
      <c r="I275" s="8"/>
      <c r="J275" s="8"/>
      <c r="K275" s="8"/>
      <c r="L275" s="8"/>
      <c r="M275" s="8"/>
      <c r="N275" s="8"/>
      <c r="O275" s="8"/>
      <c r="P275" s="8"/>
      <c r="T275" s="922">
        <v>45796</v>
      </c>
      <c r="U275" s="923">
        <v>188.34</v>
      </c>
      <c r="V275" s="8"/>
      <c r="W275" s="8"/>
      <c r="X275" s="8"/>
      <c r="Y275" s="8"/>
      <c r="Z275" s="8"/>
      <c r="AA275" s="8"/>
      <c r="AB275" s="8"/>
      <c r="AC275" s="8"/>
    </row>
    <row r="276" ht="13.5" customHeight="1" spans="1:29" x14ac:dyDescent="0.25">
      <c r="A276" s="9"/>
      <c r="B276" s="8"/>
      <c r="C276" s="922">
        <v>45800</v>
      </c>
      <c r="D276" s="923">
        <v>176.3</v>
      </c>
      <c r="E276" s="8"/>
      <c r="F276" s="8"/>
      <c r="G276" s="8"/>
      <c r="H276" s="8"/>
      <c r="I276" s="8"/>
      <c r="J276" s="8"/>
      <c r="K276" s="8"/>
      <c r="L276" s="8"/>
      <c r="M276" s="8"/>
      <c r="N276" s="8"/>
      <c r="O276" s="8"/>
      <c r="P276" s="8"/>
      <c r="T276" s="922">
        <v>45793</v>
      </c>
      <c r="U276" s="923">
        <v>188.5</v>
      </c>
      <c r="V276" s="8"/>
      <c r="W276" s="8"/>
      <c r="X276" s="8"/>
      <c r="Y276" s="8"/>
      <c r="Z276" s="8"/>
      <c r="AA276" s="8"/>
      <c r="AB276" s="8"/>
      <c r="AC276" s="8"/>
    </row>
    <row r="277" ht="13.5" customHeight="1" spans="1:29" x14ac:dyDescent="0.25">
      <c r="A277" s="9"/>
      <c r="B277" s="8"/>
      <c r="C277" s="922">
        <v>45799</v>
      </c>
      <c r="D277" s="923">
        <v>180.21</v>
      </c>
      <c r="E277" s="8"/>
      <c r="F277" s="8"/>
      <c r="G277" s="8"/>
      <c r="H277" s="8"/>
      <c r="I277" s="8"/>
      <c r="J277" s="8"/>
      <c r="K277" s="8"/>
      <c r="L277" s="8"/>
      <c r="M277" s="8"/>
      <c r="N277" s="8"/>
      <c r="O277" s="8"/>
      <c r="P277" s="8"/>
      <c r="T277" s="922">
        <v>45792</v>
      </c>
      <c r="U277" s="923">
        <v>187.83</v>
      </c>
      <c r="V277" s="8"/>
      <c r="W277" s="8"/>
      <c r="X277" s="8"/>
      <c r="Y277" s="8"/>
      <c r="Z277" s="8"/>
      <c r="AA277" s="8"/>
      <c r="AB277" s="8"/>
      <c r="AC277" s="8"/>
    </row>
    <row r="278" ht="13.5" customHeight="1" spans="1:29" x14ac:dyDescent="0.25">
      <c r="A278" s="9"/>
      <c r="B278" s="8"/>
      <c r="C278" s="922">
        <v>45798</v>
      </c>
      <c r="D278" s="923">
        <v>185.42</v>
      </c>
      <c r="E278" s="8"/>
      <c r="F278" s="8"/>
      <c r="G278" s="8"/>
      <c r="H278" s="8"/>
      <c r="I278" s="8"/>
      <c r="J278" s="8"/>
      <c r="K278" s="8"/>
      <c r="L278" s="8"/>
      <c r="M278" s="8"/>
      <c r="N278" s="8"/>
      <c r="O278" s="8"/>
      <c r="P278" s="8"/>
      <c r="T278" s="922">
        <v>45791</v>
      </c>
      <c r="U278" s="923">
        <v>187.34</v>
      </c>
      <c r="V278" s="8"/>
      <c r="W278" s="8"/>
      <c r="X278" s="8"/>
      <c r="Y278" s="8"/>
      <c r="Z278" s="8"/>
      <c r="AA278" s="8"/>
      <c r="AB278" s="8"/>
      <c r="AC278" s="8"/>
    </row>
    <row r="279" ht="13.5" customHeight="1" spans="1:29" x14ac:dyDescent="0.25">
      <c r="A279" s="9"/>
      <c r="B279" s="8"/>
      <c r="C279" s="922">
        <v>45796</v>
      </c>
      <c r="D279" s="923">
        <v>188.34</v>
      </c>
      <c r="E279" s="8"/>
      <c r="F279" s="8"/>
      <c r="G279" s="8"/>
      <c r="H279" s="8"/>
      <c r="I279" s="8"/>
      <c r="J279" s="8"/>
      <c r="K279" s="8"/>
      <c r="L279" s="8"/>
      <c r="M279" s="8"/>
      <c r="N279" s="8"/>
      <c r="O279" s="8"/>
      <c r="P279" s="8"/>
      <c r="T279" s="922">
        <v>45790</v>
      </c>
      <c r="U279" s="923">
        <v>188.2</v>
      </c>
      <c r="V279" s="8"/>
      <c r="W279" s="8"/>
      <c r="X279" s="8"/>
      <c r="Y279" s="8"/>
      <c r="Z279" s="8"/>
      <c r="AA279" s="8"/>
      <c r="AB279" s="8"/>
      <c r="AC279" s="8"/>
    </row>
    <row r="280" ht="13.5" customHeight="1" spans="1:29" x14ac:dyDescent="0.25">
      <c r="A280" s="9"/>
      <c r="B280" s="8"/>
      <c r="C280" s="922">
        <v>45793</v>
      </c>
      <c r="D280" s="923">
        <v>188.5</v>
      </c>
      <c r="E280" s="8"/>
      <c r="F280" s="8"/>
      <c r="G280" s="8"/>
      <c r="H280" s="8"/>
      <c r="I280" s="8"/>
      <c r="J280" s="8"/>
      <c r="K280" s="8"/>
      <c r="L280" s="8"/>
      <c r="M280" s="8"/>
      <c r="N280" s="8"/>
      <c r="O280" s="8"/>
      <c r="P280" s="8"/>
      <c r="T280" s="922">
        <v>45786</v>
      </c>
      <c r="U280" s="923">
        <v>172.27</v>
      </c>
      <c r="V280" s="8"/>
      <c r="W280" s="8"/>
      <c r="X280" s="8"/>
      <c r="Y280" s="8"/>
      <c r="Z280" s="8"/>
      <c r="AA280" s="8"/>
      <c r="AB280" s="8"/>
      <c r="AC280" s="8"/>
    </row>
    <row r="281" ht="13.5" customHeight="1" spans="1:29" x14ac:dyDescent="0.25">
      <c r="A281" s="9"/>
      <c r="B281" s="8"/>
      <c r="C281" s="922">
        <v>45792</v>
      </c>
      <c r="D281" s="923">
        <v>187.83</v>
      </c>
      <c r="E281" s="8"/>
      <c r="F281" s="8"/>
      <c r="G281" s="8"/>
      <c r="H281" s="8"/>
      <c r="I281" s="8"/>
      <c r="J281" s="8"/>
      <c r="K281" s="8"/>
      <c r="L281" s="8"/>
      <c r="M281" s="8"/>
      <c r="N281" s="8"/>
      <c r="O281" s="8"/>
      <c r="P281" s="8"/>
      <c r="T281" s="922">
        <v>45785</v>
      </c>
      <c r="U281" s="923">
        <v>165.64</v>
      </c>
      <c r="V281" s="8"/>
      <c r="W281" s="8"/>
      <c r="X281" s="8"/>
      <c r="Y281" s="8"/>
      <c r="Z281" s="8"/>
      <c r="AA281" s="8"/>
      <c r="AB281" s="8"/>
      <c r="AC281" s="8"/>
    </row>
    <row r="282" ht="13.5" customHeight="1" spans="1:29" x14ac:dyDescent="0.25">
      <c r="A282" s="9"/>
      <c r="B282" s="8"/>
      <c r="C282" s="922">
        <v>45791</v>
      </c>
      <c r="D282" s="923">
        <v>187.34</v>
      </c>
      <c r="E282" s="8"/>
      <c r="F282" s="8"/>
      <c r="G282" s="8"/>
      <c r="H282" s="8"/>
      <c r="I282" s="8"/>
      <c r="J282" s="8"/>
      <c r="K282" s="8"/>
      <c r="L282" s="8"/>
      <c r="M282" s="8"/>
      <c r="N282" s="8"/>
      <c r="O282" s="8"/>
      <c r="P282" s="8"/>
      <c r="T282" s="922">
        <v>45784</v>
      </c>
      <c r="U282" s="923">
        <v>164.79</v>
      </c>
      <c r="V282" s="8"/>
      <c r="W282" s="8"/>
      <c r="X282" s="8"/>
      <c r="Y282" s="8"/>
      <c r="Z282" s="8"/>
      <c r="AA282" s="8"/>
      <c r="AB282" s="8"/>
      <c r="AC282" s="8"/>
    </row>
    <row r="283" ht="13.5" customHeight="1" spans="1:29" x14ac:dyDescent="0.25">
      <c r="A283" s="9"/>
      <c r="B283" s="8"/>
      <c r="C283" s="922">
        <v>45790</v>
      </c>
      <c r="D283" s="923">
        <v>188.2</v>
      </c>
      <c r="E283" s="8"/>
      <c r="F283" s="8"/>
      <c r="G283" s="8"/>
      <c r="H283" s="8"/>
      <c r="I283" s="8"/>
      <c r="J283" s="8"/>
      <c r="K283" s="8"/>
      <c r="L283" s="8"/>
      <c r="M283" s="8"/>
      <c r="N283" s="8"/>
      <c r="O283" s="8"/>
      <c r="P283" s="8"/>
      <c r="T283" s="922">
        <v>45783</v>
      </c>
      <c r="U283" s="923">
        <v>161.09</v>
      </c>
      <c r="V283" s="8"/>
      <c r="W283" s="8"/>
      <c r="X283" s="8"/>
      <c r="Y283" s="8"/>
      <c r="Z283" s="8"/>
      <c r="AA283" s="8"/>
      <c r="AB283" s="8"/>
      <c r="AC283" s="8"/>
    </row>
    <row r="284" ht="13.5" customHeight="1" spans="1:29" x14ac:dyDescent="0.25">
      <c r="A284" s="9"/>
      <c r="B284" s="8"/>
      <c r="C284" s="922">
        <v>45786</v>
      </c>
      <c r="D284" s="923">
        <v>172.27</v>
      </c>
      <c r="E284" s="8"/>
      <c r="F284" s="8"/>
      <c r="G284" s="8"/>
      <c r="H284" s="8"/>
      <c r="I284" s="8"/>
      <c r="J284" s="8"/>
      <c r="K284" s="8"/>
      <c r="L284" s="8"/>
      <c r="M284" s="8"/>
      <c r="N284" s="8"/>
      <c r="O284" s="8"/>
      <c r="P284" s="8"/>
      <c r="T284" s="922">
        <v>45782</v>
      </c>
      <c r="U284" s="923">
        <v>162.42</v>
      </c>
      <c r="V284" s="8"/>
      <c r="W284" s="8"/>
      <c r="X284" s="8"/>
      <c r="Y284" s="8"/>
      <c r="Z284" s="8"/>
      <c r="AA284" s="8"/>
      <c r="AB284" s="8"/>
      <c r="AC284" s="8"/>
    </row>
    <row r="285" ht="13.5" customHeight="1" spans="1:29" x14ac:dyDescent="0.25">
      <c r="A285" s="9"/>
      <c r="B285" s="8"/>
      <c r="C285" s="922">
        <v>45785</v>
      </c>
      <c r="D285" s="923">
        <v>165.64</v>
      </c>
      <c r="E285" s="8"/>
      <c r="F285" s="8"/>
      <c r="G285" s="8"/>
      <c r="H285" s="8"/>
      <c r="I285" s="8"/>
      <c r="J285" s="8"/>
      <c r="K285" s="8"/>
      <c r="L285" s="8"/>
      <c r="M285" s="8"/>
      <c r="N285" s="8"/>
      <c r="O285" s="8"/>
      <c r="P285" s="8"/>
      <c r="T285" s="922">
        <v>45778</v>
      </c>
      <c r="U285" s="923">
        <v>158.26</v>
      </c>
      <c r="V285" s="8"/>
      <c r="W285" s="8"/>
      <c r="X285" s="8"/>
      <c r="Y285" s="8"/>
      <c r="Z285" s="8"/>
      <c r="AA285" s="8"/>
      <c r="AB285" s="8"/>
      <c r="AC285" s="8"/>
    </row>
    <row r="286" ht="13.5" customHeight="1" spans="1:29" x14ac:dyDescent="0.25">
      <c r="A286" s="9"/>
      <c r="B286" s="8"/>
      <c r="C286" s="922">
        <v>45784</v>
      </c>
      <c r="D286" s="923">
        <v>164.79</v>
      </c>
      <c r="E286" s="8"/>
      <c r="F286" s="8"/>
      <c r="G286" s="8"/>
      <c r="H286" s="8"/>
      <c r="I286" s="8"/>
      <c r="J286" s="8"/>
      <c r="K286" s="8"/>
      <c r="L286" s="8"/>
      <c r="M286" s="8"/>
      <c r="N286" s="8"/>
      <c r="O286" s="8"/>
      <c r="P286" s="8"/>
      <c r="T286" s="922">
        <v>45777</v>
      </c>
      <c r="U286" s="923">
        <v>160.05</v>
      </c>
      <c r="V286" s="8"/>
      <c r="W286" s="8"/>
      <c r="X286" s="8"/>
      <c r="Y286" s="8"/>
      <c r="Z286" s="8"/>
      <c r="AA286" s="8"/>
      <c r="AB286" s="8"/>
      <c r="AC286" s="8"/>
    </row>
    <row r="287" ht="13.5" customHeight="1" spans="1:29" x14ac:dyDescent="0.25">
      <c r="A287" s="9"/>
      <c r="B287" s="8"/>
      <c r="C287" s="922">
        <v>45783</v>
      </c>
      <c r="D287" s="923">
        <v>161.09</v>
      </c>
      <c r="E287" s="8"/>
      <c r="F287" s="8"/>
      <c r="G287" s="8"/>
      <c r="H287" s="8"/>
      <c r="I287" s="8"/>
      <c r="J287" s="8"/>
      <c r="K287" s="8"/>
      <c r="L287" s="8"/>
      <c r="M287" s="8"/>
      <c r="N287" s="8"/>
      <c r="O287" s="8"/>
      <c r="P287" s="8"/>
      <c r="T287" s="922">
        <v>45776</v>
      </c>
      <c r="U287" s="923">
        <v>160.77</v>
      </c>
      <c r="V287" s="8"/>
      <c r="W287" s="8"/>
      <c r="X287" s="8"/>
      <c r="Y287" s="8"/>
      <c r="Z287" s="8"/>
      <c r="AA287" s="8"/>
      <c r="AB287" s="8"/>
      <c r="AC287" s="8"/>
    </row>
    <row r="288" ht="13.5" customHeight="1" spans="1:29" x14ac:dyDescent="0.25">
      <c r="A288" s="9"/>
      <c r="B288" s="8"/>
      <c r="C288" s="922">
        <v>45782</v>
      </c>
      <c r="D288" s="923">
        <v>162.42</v>
      </c>
      <c r="E288" s="8"/>
      <c r="F288" s="8"/>
      <c r="G288" s="8"/>
      <c r="H288" s="8"/>
      <c r="I288" s="8"/>
      <c r="J288" s="8"/>
      <c r="K288" s="8"/>
      <c r="L288" s="8"/>
      <c r="M288" s="8"/>
      <c r="N288" s="8"/>
      <c r="O288" s="8"/>
      <c r="P288" s="8"/>
      <c r="T288" s="922">
        <v>45775</v>
      </c>
      <c r="U288" s="923">
        <v>162.44</v>
      </c>
      <c r="V288" s="8"/>
      <c r="W288" s="8"/>
      <c r="X288" s="8"/>
      <c r="Y288" s="8"/>
      <c r="Z288" s="8"/>
      <c r="AA288" s="8"/>
      <c r="AB288" s="8"/>
      <c r="AC288" s="8"/>
    </row>
    <row r="289" ht="13.5" customHeight="1" spans="1:29" x14ac:dyDescent="0.25">
      <c r="A289" s="9"/>
      <c r="B289" s="8"/>
      <c r="C289" s="922">
        <v>45778</v>
      </c>
      <c r="D289" s="923">
        <v>158.26</v>
      </c>
      <c r="E289" s="8"/>
      <c r="F289" s="8"/>
      <c r="G289" s="8"/>
      <c r="H289" s="8"/>
      <c r="I289" s="8"/>
      <c r="J289" s="8"/>
      <c r="K289" s="8"/>
      <c r="L289" s="8"/>
      <c r="M289" s="8"/>
      <c r="N289" s="8"/>
      <c r="O289" s="8"/>
      <c r="P289" s="8"/>
      <c r="T289" s="922">
        <v>45772</v>
      </c>
      <c r="U289" s="923">
        <v>162.86</v>
      </c>
      <c r="V289" s="8"/>
      <c r="W289" s="8"/>
      <c r="X289" s="8"/>
      <c r="Y289" s="8"/>
      <c r="Z289" s="8"/>
      <c r="AA289" s="8"/>
      <c r="AB289" s="8"/>
      <c r="AC289" s="8"/>
    </row>
    <row r="290" ht="13.5" customHeight="1" spans="1:29" x14ac:dyDescent="0.25">
      <c r="A290" s="9"/>
      <c r="B290" s="8"/>
      <c r="C290" s="922">
        <v>45777</v>
      </c>
      <c r="D290" s="923">
        <v>160.05</v>
      </c>
      <c r="E290" s="8"/>
      <c r="F290" s="8"/>
      <c r="G290" s="8"/>
      <c r="H290" s="8"/>
      <c r="I290" s="8"/>
      <c r="J290" s="8"/>
      <c r="K290" s="8"/>
      <c r="L290" s="8"/>
      <c r="M290" s="8"/>
      <c r="N290" s="8"/>
      <c r="O290" s="8"/>
      <c r="P290" s="8"/>
      <c r="T290" s="922">
        <v>45770</v>
      </c>
      <c r="U290" s="923">
        <v>152.15</v>
      </c>
      <c r="V290" s="8"/>
      <c r="W290" s="8"/>
      <c r="X290" s="8"/>
      <c r="Y290" s="8"/>
      <c r="Z290" s="8"/>
      <c r="AA290" s="8"/>
      <c r="AB290" s="8"/>
      <c r="AC290" s="8"/>
    </row>
    <row r="291" ht="13.5" customHeight="1" spans="1:29" x14ac:dyDescent="0.25">
      <c r="A291" s="9"/>
      <c r="B291" s="8"/>
      <c r="C291" s="922">
        <v>45776</v>
      </c>
      <c r="D291" s="923">
        <v>160.77</v>
      </c>
      <c r="E291" s="8"/>
      <c r="F291" s="8"/>
      <c r="G291" s="8"/>
      <c r="H291" s="8"/>
      <c r="I291" s="8"/>
      <c r="J291" s="8"/>
      <c r="K291" s="8"/>
      <c r="L291" s="8"/>
      <c r="M291" s="8"/>
      <c r="N291" s="8"/>
      <c r="O291" s="8"/>
      <c r="P291" s="8"/>
      <c r="T291" s="922">
        <v>45769</v>
      </c>
      <c r="U291" s="923">
        <v>146.76</v>
      </c>
      <c r="V291" s="8"/>
      <c r="W291" s="8"/>
      <c r="X291" s="8"/>
      <c r="Y291" s="8"/>
      <c r="Z291" s="8"/>
      <c r="AA291" s="8"/>
      <c r="AB291" s="8"/>
      <c r="AC291" s="8"/>
    </row>
    <row r="292" ht="13.5" customHeight="1" spans="1:29" x14ac:dyDescent="0.25">
      <c r="A292" s="9"/>
      <c r="B292" s="8"/>
      <c r="C292" s="922">
        <v>45775</v>
      </c>
      <c r="D292" s="923">
        <v>162.44</v>
      </c>
      <c r="E292" s="8"/>
      <c r="F292" s="8"/>
      <c r="G292" s="8"/>
      <c r="H292" s="8"/>
      <c r="I292" s="8"/>
      <c r="J292" s="8"/>
      <c r="K292" s="8"/>
      <c r="L292" s="8"/>
      <c r="M292" s="8"/>
      <c r="N292" s="8"/>
      <c r="O292" s="8"/>
      <c r="P292" s="8"/>
      <c r="T292" s="922">
        <v>45768</v>
      </c>
      <c r="U292" s="923">
        <v>145.61</v>
      </c>
      <c r="V292" s="8"/>
      <c r="W292" s="8"/>
      <c r="X292" s="8"/>
      <c r="Y292" s="8"/>
      <c r="Z292" s="8"/>
      <c r="AA292" s="8"/>
      <c r="AB292" s="8"/>
      <c r="AC292" s="8"/>
    </row>
    <row r="293" ht="13.5" customHeight="1" spans="1:29" x14ac:dyDescent="0.25">
      <c r="A293" s="9"/>
      <c r="B293" s="8"/>
      <c r="C293" s="922">
        <v>45772</v>
      </c>
      <c r="D293" s="923">
        <v>162.86</v>
      </c>
      <c r="E293" s="8"/>
      <c r="F293" s="8"/>
      <c r="G293" s="8"/>
      <c r="H293" s="8"/>
      <c r="I293" s="8"/>
      <c r="J293" s="8"/>
      <c r="K293" s="8"/>
      <c r="L293" s="8"/>
      <c r="M293" s="8"/>
      <c r="N293" s="8"/>
      <c r="O293" s="8"/>
      <c r="P293" s="8"/>
      <c r="T293" s="922">
        <v>45764</v>
      </c>
      <c r="U293" s="923">
        <v>148.44</v>
      </c>
      <c r="V293" s="8"/>
      <c r="W293" s="8"/>
      <c r="X293" s="8"/>
      <c r="Y293" s="8"/>
      <c r="Z293" s="8"/>
      <c r="AA293" s="8"/>
      <c r="AB293" s="8"/>
      <c r="AC293" s="8"/>
    </row>
    <row r="294" ht="13.5" customHeight="1" spans="1:29" x14ac:dyDescent="0.25">
      <c r="A294" s="9"/>
      <c r="B294" s="8"/>
      <c r="C294" s="922">
        <v>45770</v>
      </c>
      <c r="D294" s="923">
        <v>152.15</v>
      </c>
      <c r="E294" s="8"/>
      <c r="F294" s="8"/>
      <c r="G294" s="8"/>
      <c r="H294" s="8"/>
      <c r="I294" s="8"/>
      <c r="J294" s="8"/>
      <c r="K294" s="8"/>
      <c r="L294" s="8"/>
      <c r="M294" s="8"/>
      <c r="N294" s="8"/>
      <c r="O294" s="8"/>
      <c r="P294" s="8"/>
      <c r="T294" s="922">
        <v>45763</v>
      </c>
      <c r="U294" s="923">
        <v>146.55</v>
      </c>
      <c r="V294" s="8"/>
      <c r="W294" s="8"/>
      <c r="X294" s="8"/>
      <c r="Y294" s="8"/>
      <c r="Z294" s="8"/>
      <c r="AA294" s="8"/>
      <c r="AB294" s="8"/>
      <c r="AC294" s="8"/>
    </row>
    <row r="295" ht="13.5" customHeight="1" spans="1:29" x14ac:dyDescent="0.25">
      <c r="A295" s="9"/>
      <c r="B295" s="8"/>
      <c r="C295" s="922">
        <v>45769</v>
      </c>
      <c r="D295" s="923">
        <v>146.76</v>
      </c>
      <c r="E295" s="8"/>
      <c r="F295" s="8"/>
      <c r="G295" s="8"/>
      <c r="H295" s="8"/>
      <c r="I295" s="8"/>
      <c r="J295" s="8"/>
      <c r="K295" s="8"/>
      <c r="L295" s="8"/>
      <c r="M295" s="8"/>
      <c r="N295" s="8"/>
      <c r="O295" s="8"/>
      <c r="P295" s="8"/>
      <c r="T295" s="922">
        <v>45761</v>
      </c>
      <c r="U295" s="923">
        <v>150.98</v>
      </c>
      <c r="V295" s="8"/>
      <c r="W295" s="8"/>
      <c r="X295" s="8"/>
      <c r="Y295" s="8"/>
      <c r="Z295" s="8"/>
      <c r="AA295" s="8"/>
      <c r="AB295" s="8"/>
      <c r="AC295" s="8"/>
    </row>
    <row r="296" ht="13.5" customHeight="1" spans="1:29" x14ac:dyDescent="0.25">
      <c r="A296" s="9"/>
      <c r="B296" s="8"/>
      <c r="C296" s="922">
        <v>45768</v>
      </c>
      <c r="D296" s="923">
        <v>145.61</v>
      </c>
      <c r="E296" s="8"/>
      <c r="F296" s="8"/>
      <c r="G296" s="8"/>
      <c r="H296" s="8"/>
      <c r="I296" s="8"/>
      <c r="J296" s="8"/>
      <c r="K296" s="8"/>
      <c r="L296" s="8"/>
      <c r="M296" s="8"/>
      <c r="N296" s="8"/>
      <c r="O296" s="8"/>
      <c r="P296" s="8"/>
      <c r="T296" s="922">
        <v>45758</v>
      </c>
      <c r="U296" s="923">
        <v>147.6</v>
      </c>
      <c r="V296" s="8"/>
      <c r="W296" s="8"/>
      <c r="X296" s="8"/>
      <c r="Y296" s="8"/>
      <c r="Z296" s="8"/>
      <c r="AA296" s="8"/>
      <c r="AB296" s="8"/>
      <c r="AC296" s="8"/>
    </row>
    <row r="297" ht="13.5" customHeight="1" spans="1:29" x14ac:dyDescent="0.25">
      <c r="A297" s="9"/>
      <c r="B297" s="8"/>
      <c r="C297" s="922">
        <v>45764</v>
      </c>
      <c r="D297" s="923">
        <v>148.44</v>
      </c>
      <c r="E297" s="8"/>
      <c r="F297" s="8"/>
      <c r="G297" s="8"/>
      <c r="H297" s="8"/>
      <c r="I297" s="8"/>
      <c r="J297" s="8"/>
      <c r="K297" s="8"/>
      <c r="L297" s="8"/>
      <c r="M297" s="8"/>
      <c r="N297" s="8"/>
      <c r="O297" s="8"/>
      <c r="P297" s="8"/>
      <c r="T297" s="922">
        <v>45757</v>
      </c>
      <c r="U297" s="923">
        <v>156.6</v>
      </c>
      <c r="V297" s="8"/>
      <c r="W297" s="8"/>
      <c r="X297" s="8"/>
      <c r="Y297" s="8"/>
      <c r="Z297" s="8"/>
      <c r="AA297" s="8"/>
      <c r="AB297" s="8"/>
      <c r="AC297" s="8"/>
    </row>
    <row r="298" ht="13.5" customHeight="1" spans="1:29" x14ac:dyDescent="0.25">
      <c r="A298" s="9"/>
      <c r="B298" s="8"/>
      <c r="C298" s="922">
        <v>45763</v>
      </c>
      <c r="D298" s="923">
        <v>146.55</v>
      </c>
      <c r="E298" s="8"/>
      <c r="F298" s="8"/>
      <c r="G298" s="8"/>
      <c r="H298" s="8"/>
      <c r="I298" s="8"/>
      <c r="J298" s="8"/>
      <c r="K298" s="8"/>
      <c r="L298" s="8"/>
      <c r="M298" s="8"/>
      <c r="N298" s="8"/>
      <c r="O298" s="8"/>
      <c r="P298" s="8"/>
      <c r="T298" s="922">
        <v>45756</v>
      </c>
      <c r="U298" s="923">
        <v>169.5</v>
      </c>
      <c r="V298" s="8"/>
      <c r="W298" s="8"/>
      <c r="X298" s="8"/>
      <c r="Y298" s="8"/>
      <c r="Z298" s="8"/>
      <c r="AA298" s="8"/>
      <c r="AB298" s="8"/>
      <c r="AC298" s="8"/>
    </row>
    <row r="299" ht="13.5" customHeight="1" spans="1:29" x14ac:dyDescent="0.25">
      <c r="A299" s="9"/>
      <c r="B299" s="8"/>
      <c r="C299" s="922">
        <v>45761</v>
      </c>
      <c r="D299" s="923">
        <v>150.98</v>
      </c>
      <c r="E299" s="8"/>
      <c r="F299" s="8"/>
      <c r="G299" s="8"/>
      <c r="H299" s="8"/>
      <c r="I299" s="8"/>
      <c r="J299" s="8"/>
      <c r="K299" s="8"/>
      <c r="L299" s="8"/>
      <c r="M299" s="8"/>
      <c r="N299" s="8"/>
      <c r="O299" s="8"/>
      <c r="P299" s="8"/>
      <c r="T299" s="922">
        <v>45754</v>
      </c>
      <c r="U299" s="923">
        <v>154</v>
      </c>
      <c r="V299" s="8"/>
      <c r="W299" s="8"/>
      <c r="X299" s="8"/>
      <c r="Y299" s="8"/>
      <c r="Z299" s="8"/>
      <c r="AA299" s="8"/>
      <c r="AB299" s="8"/>
      <c r="AC299" s="8"/>
    </row>
    <row r="300" ht="13.5" customHeight="1" spans="1:29" x14ac:dyDescent="0.25">
      <c r="A300" s="9"/>
      <c r="B300" s="8"/>
      <c r="C300" s="922">
        <v>45758</v>
      </c>
      <c r="D300" s="923">
        <v>147.6</v>
      </c>
      <c r="E300" s="8"/>
      <c r="F300" s="8"/>
      <c r="G300" s="8"/>
      <c r="H300" s="8"/>
      <c r="I300" s="8"/>
      <c r="J300" s="8"/>
      <c r="K300" s="8"/>
      <c r="L300" s="8"/>
      <c r="M300" s="8"/>
      <c r="N300" s="8"/>
      <c r="O300" s="8"/>
      <c r="P300" s="8"/>
      <c r="T300" s="922">
        <v>45751</v>
      </c>
      <c r="U300" s="923">
        <v>151.39</v>
      </c>
      <c r="V300" s="8"/>
      <c r="W300" s="8"/>
      <c r="X300" s="8"/>
      <c r="Y300" s="8"/>
      <c r="Z300" s="8"/>
      <c r="AA300" s="8"/>
      <c r="AB300" s="8"/>
      <c r="AC300" s="8"/>
    </row>
    <row r="301" ht="13.5" customHeight="1" spans="1:29" x14ac:dyDescent="0.25">
      <c r="A301" s="9"/>
      <c r="B301" s="8"/>
      <c r="C301" s="922">
        <v>45757</v>
      </c>
      <c r="D301" s="923">
        <v>156.6</v>
      </c>
      <c r="E301" s="8"/>
      <c r="F301" s="8"/>
      <c r="G301" s="8"/>
      <c r="H301" s="8"/>
      <c r="I301" s="8"/>
      <c r="J301" s="8"/>
      <c r="K301" s="8"/>
      <c r="L301" s="8"/>
      <c r="M301" s="8"/>
      <c r="N301" s="8"/>
      <c r="O301" s="8"/>
      <c r="P301" s="8"/>
      <c r="T301" s="922">
        <v>45750</v>
      </c>
      <c r="U301" s="923">
        <v>164.2</v>
      </c>
      <c r="V301" s="8"/>
      <c r="W301" s="8"/>
      <c r="X301" s="8"/>
      <c r="Y301" s="8"/>
      <c r="Z301" s="8"/>
      <c r="AA301" s="8"/>
      <c r="AB301" s="8"/>
      <c r="AC301" s="8"/>
    </row>
    <row r="302" ht="13.5" customHeight="1" spans="1:29" x14ac:dyDescent="0.25">
      <c r="A302" s="9"/>
      <c r="B302" s="8"/>
      <c r="C302" s="922">
        <v>45756</v>
      </c>
      <c r="D302" s="923">
        <v>169.5</v>
      </c>
      <c r="E302" s="8"/>
      <c r="F302" s="8"/>
      <c r="G302" s="8"/>
      <c r="H302" s="8"/>
      <c r="I302" s="8"/>
      <c r="J302" s="8"/>
      <c r="K302" s="8"/>
      <c r="L302" s="8"/>
      <c r="M302" s="8"/>
      <c r="N302" s="8"/>
      <c r="O302" s="8"/>
      <c r="P302" s="8"/>
      <c r="T302" s="922">
        <v>45749</v>
      </c>
      <c r="U302" s="923">
        <v>178.19</v>
      </c>
      <c r="V302" s="8"/>
      <c r="W302" s="8"/>
      <c r="X302" s="8"/>
      <c r="Y302" s="8"/>
      <c r="Z302" s="8"/>
      <c r="AA302" s="8"/>
      <c r="AB302" s="8"/>
      <c r="AC302" s="8"/>
    </row>
    <row r="303" ht="13.5" customHeight="1" spans="1:29" x14ac:dyDescent="0.25">
      <c r="A303" s="9"/>
      <c r="B303" s="8"/>
      <c r="C303" s="922">
        <v>45754</v>
      </c>
      <c r="D303" s="923">
        <v>154</v>
      </c>
      <c r="E303" s="8"/>
      <c r="F303" s="8"/>
      <c r="G303" s="8"/>
      <c r="H303" s="8"/>
      <c r="I303" s="8"/>
      <c r="J303" s="8"/>
      <c r="K303" s="8"/>
      <c r="L303" s="8"/>
      <c r="M303" s="8"/>
      <c r="N303" s="8"/>
      <c r="O303" s="8"/>
      <c r="P303" s="8"/>
      <c r="T303" s="922">
        <v>45748</v>
      </c>
      <c r="U303" s="923">
        <v>177.99</v>
      </c>
      <c r="V303" s="8"/>
      <c r="W303" s="8"/>
      <c r="X303" s="8"/>
      <c r="Y303" s="8"/>
      <c r="Z303" s="8"/>
      <c r="AA303" s="8"/>
      <c r="AB303" s="8"/>
      <c r="AC303" s="8"/>
    </row>
    <row r="304" ht="13.5" customHeight="1" spans="1:29" x14ac:dyDescent="0.25">
      <c r="A304" s="9"/>
      <c r="B304" s="8"/>
      <c r="C304" s="922">
        <v>45751</v>
      </c>
      <c r="D304" s="923">
        <v>151.39</v>
      </c>
      <c r="E304" s="8"/>
      <c r="F304" s="8"/>
      <c r="G304" s="8"/>
      <c r="H304" s="8"/>
      <c r="I304" s="8"/>
      <c r="J304" s="8"/>
      <c r="K304" s="8"/>
      <c r="L304" s="8"/>
      <c r="M304" s="8"/>
      <c r="N304" s="8"/>
      <c r="O304" s="8"/>
      <c r="P304" s="8"/>
      <c r="T304" s="922">
        <v>45744</v>
      </c>
      <c r="U304" s="923">
        <v>176.33</v>
      </c>
      <c r="V304" s="8"/>
      <c r="W304" s="8"/>
      <c r="X304" s="8"/>
      <c r="Y304" s="8"/>
      <c r="Z304" s="8"/>
      <c r="AA304" s="8"/>
      <c r="AB304" s="8"/>
      <c r="AC304" s="8"/>
    </row>
    <row r="305" ht="13.5" customHeight="1" spans="1:29" x14ac:dyDescent="0.25">
      <c r="A305" s="9"/>
      <c r="B305" s="8"/>
      <c r="C305" s="922">
        <v>45750</v>
      </c>
      <c r="D305" s="923">
        <v>164.2</v>
      </c>
      <c r="E305" s="8"/>
      <c r="F305" s="8"/>
      <c r="G305" s="8"/>
      <c r="H305" s="8"/>
      <c r="I305" s="8"/>
      <c r="J305" s="8"/>
      <c r="K305" s="8"/>
      <c r="L305" s="8"/>
      <c r="M305" s="8"/>
      <c r="N305" s="8"/>
      <c r="O305" s="8"/>
      <c r="P305" s="8"/>
      <c r="T305" s="922">
        <v>45743</v>
      </c>
      <c r="U305" s="923">
        <v>180.76</v>
      </c>
      <c r="V305" s="8"/>
      <c r="W305" s="8"/>
      <c r="X305" s="8"/>
      <c r="Y305" s="8"/>
      <c r="Z305" s="8"/>
      <c r="AA305" s="8"/>
      <c r="AB305" s="8"/>
      <c r="AC305" s="8"/>
    </row>
    <row r="306" ht="13.5" customHeight="1" spans="1:29" x14ac:dyDescent="0.25">
      <c r="A306" s="9"/>
      <c r="B306" s="8"/>
      <c r="C306" s="922">
        <v>45749</v>
      </c>
      <c r="D306" s="923">
        <v>178.19</v>
      </c>
      <c r="E306" s="8"/>
      <c r="F306" s="8"/>
      <c r="G306" s="8"/>
      <c r="H306" s="8"/>
      <c r="I306" s="8"/>
      <c r="J306" s="8"/>
      <c r="K306" s="8"/>
      <c r="L306" s="8"/>
      <c r="M306" s="8"/>
      <c r="N306" s="8"/>
      <c r="O306" s="8"/>
      <c r="P306" s="8"/>
      <c r="T306" s="922">
        <v>45742</v>
      </c>
      <c r="U306" s="923">
        <v>184.49</v>
      </c>
      <c r="V306" s="8"/>
      <c r="W306" s="8"/>
      <c r="X306" s="8"/>
      <c r="Y306" s="8"/>
      <c r="Z306" s="8"/>
      <c r="AA306" s="8"/>
      <c r="AB306" s="8"/>
      <c r="AC306" s="8"/>
    </row>
    <row r="307" ht="13.5" customHeight="1" spans="1:29" x14ac:dyDescent="0.25">
      <c r="A307" s="9"/>
      <c r="B307" s="8"/>
      <c r="C307" s="922">
        <v>45748</v>
      </c>
      <c r="D307" s="923">
        <v>177.99</v>
      </c>
      <c r="E307" s="8"/>
      <c r="F307" s="8"/>
      <c r="G307" s="8"/>
      <c r="H307" s="8"/>
      <c r="I307" s="8"/>
      <c r="J307" s="8"/>
      <c r="K307" s="8"/>
      <c r="L307" s="8"/>
      <c r="M307" s="8"/>
      <c r="N307" s="8"/>
      <c r="O307" s="8"/>
      <c r="P307" s="8"/>
      <c r="T307" s="922">
        <v>45741</v>
      </c>
      <c r="U307" s="923">
        <v>183.97</v>
      </c>
      <c r="V307" s="8"/>
      <c r="W307" s="8"/>
      <c r="X307" s="8"/>
      <c r="Y307" s="8"/>
      <c r="Z307" s="8"/>
      <c r="AA307" s="8"/>
      <c r="AB307" s="8"/>
      <c r="AC307" s="8"/>
    </row>
    <row r="308" ht="13.5" customHeight="1" spans="1:29" x14ac:dyDescent="0.25">
      <c r="A308" s="9"/>
      <c r="B308" s="8"/>
      <c r="C308" s="922">
        <v>45744</v>
      </c>
      <c r="D308" s="923">
        <v>176.33</v>
      </c>
      <c r="E308" s="8"/>
      <c r="F308" s="8"/>
      <c r="G308" s="8"/>
      <c r="H308" s="8"/>
      <c r="I308" s="8"/>
      <c r="J308" s="8"/>
      <c r="K308" s="8"/>
      <c r="L308" s="8"/>
      <c r="M308" s="8"/>
      <c r="N308" s="8"/>
      <c r="O308" s="8"/>
      <c r="P308" s="8"/>
      <c r="T308" s="922">
        <v>45740</v>
      </c>
      <c r="U308" s="923">
        <v>185.51</v>
      </c>
      <c r="V308" s="8"/>
      <c r="W308" s="8"/>
      <c r="X308" s="8"/>
      <c r="Y308" s="8"/>
      <c r="Z308" s="8"/>
      <c r="AA308" s="8"/>
      <c r="AB308" s="8"/>
      <c r="AC308" s="8"/>
    </row>
    <row r="309" ht="13.5" customHeight="1" spans="1:29" x14ac:dyDescent="0.25">
      <c r="A309" s="9"/>
      <c r="B309" s="8"/>
      <c r="C309" s="922">
        <v>45743</v>
      </c>
      <c r="D309" s="923">
        <v>180.76</v>
      </c>
      <c r="E309" s="8"/>
      <c r="F309" s="8"/>
      <c r="G309" s="8"/>
      <c r="H309" s="8"/>
      <c r="I309" s="8"/>
      <c r="J309" s="8"/>
      <c r="K309" s="8"/>
      <c r="L309" s="8"/>
      <c r="M309" s="8"/>
      <c r="N309" s="8"/>
      <c r="O309" s="8"/>
      <c r="P309" s="8"/>
      <c r="T309" s="922">
        <v>45736</v>
      </c>
      <c r="U309" s="923">
        <v>180.68</v>
      </c>
      <c r="V309" s="8"/>
      <c r="W309" s="8"/>
      <c r="X309" s="8"/>
      <c r="Y309" s="8"/>
      <c r="Z309" s="8"/>
      <c r="AA309" s="8"/>
      <c r="AB309" s="8"/>
      <c r="AC309" s="8"/>
    </row>
    <row r="310" ht="13.5" customHeight="1" spans="1:29" x14ac:dyDescent="0.25">
      <c r="A310" s="9"/>
      <c r="B310" s="8"/>
      <c r="C310" s="922">
        <v>45742</v>
      </c>
      <c r="D310" s="923">
        <v>184.49</v>
      </c>
      <c r="E310" s="8"/>
      <c r="F310" s="8"/>
      <c r="G310" s="8"/>
      <c r="H310" s="8"/>
      <c r="I310" s="8"/>
      <c r="J310" s="8"/>
      <c r="K310" s="8"/>
      <c r="L310" s="8"/>
      <c r="M310" s="8"/>
      <c r="N310" s="8"/>
      <c r="O310" s="8"/>
      <c r="P310" s="8"/>
      <c r="T310" s="922">
        <v>45735</v>
      </c>
      <c r="U310" s="923">
        <v>181.74</v>
      </c>
      <c r="V310" s="8"/>
      <c r="W310" s="8"/>
      <c r="X310" s="8"/>
      <c r="Y310" s="8"/>
      <c r="Z310" s="8"/>
      <c r="AA310" s="8"/>
      <c r="AB310" s="8"/>
      <c r="AC310" s="8"/>
    </row>
    <row r="311" ht="13.5" customHeight="1" spans="1:29" x14ac:dyDescent="0.25">
      <c r="A311" s="9"/>
      <c r="B311" s="8"/>
      <c r="C311" s="922">
        <v>45741</v>
      </c>
      <c r="D311" s="923">
        <v>183.97</v>
      </c>
      <c r="E311" s="8"/>
      <c r="F311" s="8"/>
      <c r="G311" s="8"/>
      <c r="H311" s="8"/>
      <c r="I311" s="8"/>
      <c r="J311" s="8"/>
      <c r="K311" s="8"/>
      <c r="L311" s="8"/>
      <c r="M311" s="8"/>
      <c r="N311" s="8"/>
      <c r="O311" s="8"/>
      <c r="P311" s="8"/>
      <c r="T311" s="922">
        <v>45734</v>
      </c>
      <c r="U311" s="923">
        <v>179.45</v>
      </c>
      <c r="V311" s="8"/>
      <c r="W311" s="8"/>
      <c r="X311" s="8"/>
      <c r="Y311" s="8"/>
      <c r="Z311" s="8"/>
      <c r="AA311" s="8"/>
      <c r="AB311" s="8"/>
      <c r="AC311" s="8"/>
    </row>
    <row r="312" ht="13.5" customHeight="1" spans="1:29" x14ac:dyDescent="0.25">
      <c r="A312" s="9"/>
      <c r="B312" s="8"/>
      <c r="C312" s="922">
        <v>45740</v>
      </c>
      <c r="D312" s="923">
        <v>185.51</v>
      </c>
      <c r="E312" s="8"/>
      <c r="F312" s="8"/>
      <c r="G312" s="8"/>
      <c r="H312" s="8"/>
      <c r="I312" s="8"/>
      <c r="J312" s="8"/>
      <c r="K312" s="8"/>
      <c r="L312" s="8"/>
      <c r="M312" s="8"/>
      <c r="N312" s="8"/>
      <c r="O312" s="8"/>
      <c r="P312" s="8"/>
      <c r="T312" s="922">
        <v>45733</v>
      </c>
      <c r="U312" s="923">
        <v>179.99</v>
      </c>
      <c r="V312" s="8"/>
      <c r="W312" s="8"/>
      <c r="X312" s="8"/>
      <c r="Y312" s="8"/>
      <c r="Z312" s="8"/>
      <c r="AA312" s="8"/>
      <c r="AB312" s="8"/>
      <c r="AC312" s="8"/>
    </row>
    <row r="313" ht="13.5" customHeight="1" spans="1:29" x14ac:dyDescent="0.25">
      <c r="A313" s="9"/>
      <c r="B313" s="8"/>
      <c r="C313" s="922">
        <v>45736</v>
      </c>
      <c r="D313" s="923">
        <v>180.68</v>
      </c>
      <c r="E313" s="8"/>
      <c r="F313" s="8"/>
      <c r="G313" s="8"/>
      <c r="H313" s="8"/>
      <c r="I313" s="8"/>
      <c r="J313" s="8"/>
      <c r="K313" s="8"/>
      <c r="L313" s="8"/>
      <c r="M313" s="8"/>
      <c r="N313" s="8"/>
      <c r="O313" s="8"/>
      <c r="P313" s="8"/>
      <c r="T313" s="922">
        <v>45730</v>
      </c>
      <c r="U313" s="923">
        <v>176.42</v>
      </c>
      <c r="V313" s="8"/>
      <c r="W313" s="8"/>
      <c r="X313" s="8"/>
      <c r="Y313" s="8"/>
      <c r="Z313" s="8"/>
      <c r="AA313" s="8"/>
      <c r="AB313" s="8"/>
      <c r="AC313" s="8"/>
    </row>
    <row r="314" ht="13.5" customHeight="1" spans="1:29" x14ac:dyDescent="0.25">
      <c r="A314" s="9"/>
      <c r="B314" s="8"/>
      <c r="C314" s="922">
        <v>45735</v>
      </c>
      <c r="D314" s="923">
        <v>181.74</v>
      </c>
      <c r="E314" s="8"/>
      <c r="F314" s="8"/>
      <c r="G314" s="8"/>
      <c r="H314" s="8"/>
      <c r="I314" s="8"/>
      <c r="J314" s="8"/>
      <c r="K314" s="8"/>
      <c r="L314" s="8"/>
      <c r="M314" s="8"/>
      <c r="N314" s="8"/>
      <c r="O314" s="8"/>
      <c r="P314" s="8"/>
      <c r="T314" s="922">
        <v>45728</v>
      </c>
      <c r="U314" s="923">
        <v>175.7</v>
      </c>
      <c r="V314" s="8"/>
      <c r="W314" s="8"/>
      <c r="X314" s="8"/>
      <c r="Y314" s="8"/>
      <c r="Z314" s="8"/>
      <c r="AA314" s="8"/>
      <c r="AB314" s="8"/>
      <c r="AC314" s="8"/>
    </row>
    <row r="315" ht="13.5" customHeight="1" spans="1:29" x14ac:dyDescent="0.25">
      <c r="A315" s="9"/>
      <c r="B315" s="8"/>
      <c r="C315" s="922">
        <v>45734</v>
      </c>
      <c r="D315" s="923">
        <v>179.45</v>
      </c>
      <c r="E315" s="8"/>
      <c r="F315" s="8"/>
      <c r="G315" s="8"/>
      <c r="H315" s="8"/>
      <c r="I315" s="8"/>
      <c r="J315" s="8"/>
      <c r="K315" s="8"/>
      <c r="L315" s="8"/>
      <c r="M315" s="8"/>
      <c r="N315" s="8"/>
      <c r="O315" s="8"/>
      <c r="P315" s="8"/>
      <c r="T315" s="922">
        <v>45727</v>
      </c>
      <c r="U315" s="923">
        <v>177.34</v>
      </c>
      <c r="V315" s="8"/>
      <c r="W315" s="8"/>
      <c r="X315" s="8"/>
      <c r="Y315" s="8"/>
      <c r="Z315" s="8"/>
      <c r="AA315" s="8"/>
      <c r="AB315" s="8"/>
      <c r="AC315" s="8"/>
    </row>
    <row r="316" ht="13.5" customHeight="1" spans="1:29" x14ac:dyDescent="0.25">
      <c r="A316" s="9"/>
      <c r="B316" s="8"/>
      <c r="C316" s="922">
        <v>45733</v>
      </c>
      <c r="D316" s="923">
        <v>179.99</v>
      </c>
      <c r="E316" s="8"/>
      <c r="F316" s="8"/>
      <c r="G316" s="8"/>
      <c r="H316" s="8"/>
      <c r="I316" s="8"/>
      <c r="J316" s="8"/>
      <c r="K316" s="8"/>
      <c r="L316" s="8"/>
      <c r="M316" s="8"/>
      <c r="N316" s="8"/>
      <c r="O316" s="8"/>
      <c r="P316" s="8"/>
      <c r="T316" s="922">
        <v>45726</v>
      </c>
      <c r="U316" s="923">
        <v>186.49</v>
      </c>
      <c r="V316" s="8"/>
      <c r="W316" s="8"/>
      <c r="X316" s="8"/>
      <c r="Y316" s="8"/>
      <c r="Z316" s="8"/>
      <c r="AA316" s="8"/>
      <c r="AB316" s="8"/>
      <c r="AC316" s="8"/>
    </row>
    <row r="317" ht="13.5" customHeight="1" spans="1:29" x14ac:dyDescent="0.25">
      <c r="A317" s="9"/>
      <c r="B317" s="8"/>
      <c r="C317" s="922">
        <v>45730</v>
      </c>
      <c r="D317" s="923">
        <v>176.42</v>
      </c>
      <c r="E317" s="8"/>
      <c r="F317" s="8"/>
      <c r="G317" s="8"/>
      <c r="H317" s="8"/>
      <c r="I317" s="8"/>
      <c r="J317" s="8"/>
      <c r="K317" s="8"/>
      <c r="L317" s="8"/>
      <c r="M317" s="8"/>
      <c r="N317" s="8"/>
      <c r="O317" s="8"/>
      <c r="P317" s="8"/>
      <c r="T317" s="922">
        <v>45723</v>
      </c>
      <c r="U317" s="923">
        <v>190.52</v>
      </c>
      <c r="V317" s="8"/>
      <c r="W317" s="8"/>
      <c r="X317" s="8"/>
      <c r="Y317" s="8"/>
      <c r="Z317" s="8"/>
      <c r="AA317" s="8"/>
      <c r="AB317" s="8"/>
      <c r="AC317" s="8"/>
    </row>
    <row r="318" ht="13.5" customHeight="1" spans="1:29" x14ac:dyDescent="0.25">
      <c r="A318" s="9"/>
      <c r="B318" s="8"/>
      <c r="C318" s="922">
        <v>45728</v>
      </c>
      <c r="D318" s="923">
        <v>175.7</v>
      </c>
      <c r="E318" s="8"/>
      <c r="F318" s="8"/>
      <c r="G318" s="8"/>
      <c r="H318" s="8"/>
      <c r="I318" s="8"/>
      <c r="J318" s="8"/>
      <c r="K318" s="8"/>
      <c r="L318" s="8"/>
      <c r="M318" s="8"/>
      <c r="N318" s="8"/>
      <c r="O318" s="8"/>
      <c r="P318" s="8"/>
      <c r="T318" s="922">
        <v>45722</v>
      </c>
      <c r="U318" s="923">
        <v>189.34</v>
      </c>
      <c r="V318" s="8"/>
      <c r="W318" s="8"/>
      <c r="X318" s="8"/>
      <c r="Y318" s="8"/>
      <c r="Z318" s="8"/>
      <c r="AA318" s="8"/>
      <c r="AB318" s="8"/>
      <c r="AC318" s="8"/>
    </row>
    <row r="319" ht="13.5" customHeight="1" spans="1:29" x14ac:dyDescent="0.25">
      <c r="A319" s="9"/>
      <c r="B319" s="8"/>
      <c r="C319" s="922">
        <v>45727</v>
      </c>
      <c r="D319" s="923">
        <v>177.34</v>
      </c>
      <c r="E319" s="8"/>
      <c r="F319" s="8"/>
      <c r="G319" s="8"/>
      <c r="H319" s="8"/>
      <c r="I319" s="8"/>
      <c r="J319" s="8"/>
      <c r="K319" s="8"/>
      <c r="L319" s="8"/>
      <c r="M319" s="8"/>
      <c r="N319" s="8"/>
      <c r="O319" s="8"/>
      <c r="P319" s="8"/>
      <c r="T319" s="922">
        <v>45720</v>
      </c>
      <c r="U319" s="923">
        <v>194.84</v>
      </c>
      <c r="V319" s="8"/>
      <c r="W319" s="8"/>
      <c r="X319" s="8"/>
      <c r="Y319" s="8"/>
      <c r="Z319" s="8"/>
      <c r="AA319" s="8"/>
      <c r="AB319" s="8"/>
      <c r="AC319" s="8"/>
    </row>
    <row r="320" ht="13.5" customHeight="1" spans="1:29" x14ac:dyDescent="0.25">
      <c r="A320" s="9"/>
      <c r="B320" s="8"/>
      <c r="C320" s="922">
        <v>45726</v>
      </c>
      <c r="D320" s="923">
        <v>186.49</v>
      </c>
      <c r="E320" s="8"/>
      <c r="F320" s="8"/>
      <c r="G320" s="8"/>
      <c r="H320" s="8"/>
      <c r="I320" s="8"/>
      <c r="J320" s="8"/>
      <c r="K320" s="8"/>
      <c r="L320" s="8"/>
      <c r="M320" s="8"/>
      <c r="N320" s="8"/>
      <c r="O320" s="8"/>
      <c r="P320" s="8"/>
      <c r="T320" s="922">
        <v>45719</v>
      </c>
      <c r="U320" s="923">
        <v>194.39</v>
      </c>
      <c r="V320" s="8"/>
      <c r="W320" s="8"/>
      <c r="X320" s="8"/>
      <c r="Y320" s="8"/>
      <c r="Z320" s="8"/>
      <c r="AA320" s="8"/>
      <c r="AB320" s="8"/>
      <c r="AC320" s="8"/>
    </row>
    <row r="321" ht="13.5" customHeight="1" spans="1:29" x14ac:dyDescent="0.25">
      <c r="A321" s="9"/>
      <c r="B321" s="8"/>
      <c r="C321" s="922">
        <v>45723</v>
      </c>
      <c r="D321" s="923">
        <v>190.52</v>
      </c>
      <c r="E321" s="8"/>
      <c r="F321" s="8"/>
      <c r="G321" s="8"/>
      <c r="H321" s="8"/>
      <c r="I321" s="8"/>
      <c r="J321" s="8"/>
      <c r="K321" s="8"/>
      <c r="L321" s="8"/>
      <c r="M321" s="8"/>
      <c r="N321" s="8"/>
      <c r="O321" s="8"/>
      <c r="P321" s="8"/>
      <c r="T321" s="922">
        <v>45716</v>
      </c>
      <c r="U321" s="923">
        <v>195.99</v>
      </c>
      <c r="V321" s="8"/>
      <c r="W321" s="8"/>
      <c r="X321" s="8"/>
      <c r="Y321" s="8"/>
      <c r="Z321" s="8"/>
      <c r="AA321" s="8"/>
      <c r="AB321" s="8"/>
      <c r="AC321" s="8"/>
    </row>
    <row r="322" ht="13.5" customHeight="1" spans="1:29" x14ac:dyDescent="0.25">
      <c r="A322" s="9"/>
      <c r="B322" s="8"/>
      <c r="C322" s="922">
        <v>45722</v>
      </c>
      <c r="D322" s="923">
        <v>189.34</v>
      </c>
      <c r="E322" s="8"/>
      <c r="F322" s="8"/>
      <c r="G322" s="8"/>
      <c r="H322" s="8"/>
      <c r="I322" s="8"/>
      <c r="J322" s="8"/>
      <c r="K322" s="8"/>
      <c r="L322" s="8"/>
      <c r="M322" s="8"/>
      <c r="N322" s="8"/>
      <c r="O322" s="8"/>
      <c r="P322" s="8"/>
      <c r="T322" s="922">
        <v>45715</v>
      </c>
      <c r="U322" s="923">
        <v>191.3</v>
      </c>
      <c r="V322" s="8"/>
      <c r="W322" s="8"/>
      <c r="X322" s="8"/>
      <c r="Y322" s="8"/>
      <c r="Z322" s="8"/>
      <c r="AA322" s="8"/>
      <c r="AB322" s="8"/>
      <c r="AC322" s="8"/>
    </row>
    <row r="323" ht="13.5" customHeight="1" spans="1:29" x14ac:dyDescent="0.25">
      <c r="A323" s="9"/>
      <c r="B323" s="8"/>
      <c r="C323" s="922">
        <v>45720</v>
      </c>
      <c r="D323" s="923">
        <v>194.84</v>
      </c>
      <c r="E323" s="8"/>
      <c r="F323" s="8"/>
      <c r="G323" s="8"/>
      <c r="H323" s="8"/>
      <c r="I323" s="8"/>
      <c r="J323" s="8"/>
      <c r="K323" s="8"/>
      <c r="L323" s="8"/>
      <c r="M323" s="8"/>
      <c r="N323" s="8"/>
      <c r="O323" s="8"/>
      <c r="P323" s="8"/>
      <c r="T323" s="922">
        <v>45714</v>
      </c>
      <c r="U323" s="923">
        <v>198.24</v>
      </c>
      <c r="V323" s="8"/>
      <c r="W323" s="8"/>
      <c r="X323" s="8"/>
      <c r="Y323" s="8"/>
      <c r="Z323" s="8"/>
      <c r="AA323" s="8"/>
      <c r="AB323" s="8"/>
      <c r="AC323" s="8"/>
    </row>
    <row r="324" ht="13.5" customHeight="1" spans="1:29" x14ac:dyDescent="0.25">
      <c r="A324" s="9"/>
      <c r="B324" s="8"/>
      <c r="C324" s="922">
        <v>45719</v>
      </c>
      <c r="D324" s="923">
        <v>194.39</v>
      </c>
      <c r="E324" s="8"/>
      <c r="F324" s="8"/>
      <c r="G324" s="8"/>
      <c r="H324" s="8"/>
      <c r="I324" s="8"/>
      <c r="J324" s="8"/>
      <c r="K324" s="8"/>
      <c r="L324" s="8"/>
      <c r="M324" s="8"/>
      <c r="N324" s="8"/>
      <c r="O324" s="8"/>
      <c r="P324" s="8"/>
      <c r="T324" s="922">
        <v>45712</v>
      </c>
      <c r="U324" s="923">
        <v>200.74</v>
      </c>
      <c r="V324" s="8"/>
      <c r="W324" s="8"/>
      <c r="X324" s="8"/>
      <c r="Y324" s="8"/>
      <c r="Z324" s="8"/>
      <c r="AA324" s="8"/>
      <c r="AB324" s="8"/>
      <c r="AC324" s="8"/>
    </row>
    <row r="325" ht="13.5" customHeight="1" spans="1:29" x14ac:dyDescent="0.25">
      <c r="A325" s="9"/>
      <c r="B325" s="8"/>
      <c r="C325" s="922">
        <v>45716</v>
      </c>
      <c r="D325" s="923">
        <v>195.99</v>
      </c>
      <c r="E325" s="8"/>
      <c r="F325" s="8"/>
      <c r="G325" s="8"/>
      <c r="H325" s="8"/>
      <c r="I325" s="8"/>
      <c r="J325" s="8"/>
      <c r="K325" s="8"/>
      <c r="L325" s="8"/>
      <c r="M325" s="8"/>
      <c r="N325" s="8"/>
      <c r="O325" s="8"/>
      <c r="P325" s="8"/>
      <c r="T325" s="922">
        <v>45709</v>
      </c>
      <c r="U325" s="923">
        <v>202</v>
      </c>
      <c r="V325" s="8"/>
      <c r="W325" s="8"/>
      <c r="X325" s="8"/>
      <c r="Y325" s="8"/>
      <c r="Z325" s="8"/>
      <c r="AA325" s="8"/>
      <c r="AB325" s="8"/>
      <c r="AC325" s="8"/>
    </row>
    <row r="326" ht="13.5" customHeight="1" spans="1:29" x14ac:dyDescent="0.25">
      <c r="A326" s="9"/>
      <c r="B326" s="8"/>
      <c r="C326" s="922">
        <v>45715</v>
      </c>
      <c r="D326" s="923">
        <v>191.3</v>
      </c>
      <c r="E326" s="8"/>
      <c r="F326" s="8"/>
      <c r="G326" s="8"/>
      <c r="H326" s="8"/>
      <c r="I326" s="8"/>
      <c r="J326" s="8"/>
      <c r="K326" s="8"/>
      <c r="L326" s="8"/>
      <c r="M326" s="8"/>
      <c r="N326" s="8"/>
      <c r="O326" s="8"/>
      <c r="P326" s="8"/>
      <c r="T326" s="922">
        <v>45708</v>
      </c>
      <c r="U326" s="923">
        <v>203.96</v>
      </c>
      <c r="V326" s="8"/>
      <c r="W326" s="8"/>
      <c r="X326" s="8"/>
      <c r="Y326" s="8"/>
      <c r="Z326" s="8"/>
      <c r="AA326" s="8"/>
      <c r="AB326" s="8"/>
      <c r="AC326" s="8"/>
    </row>
    <row r="327" ht="13.5" customHeight="1" spans="1:29" x14ac:dyDescent="0.25">
      <c r="A327" s="9"/>
      <c r="B327" s="8"/>
      <c r="C327" s="922">
        <v>45714</v>
      </c>
      <c r="D327" s="923">
        <v>198.24</v>
      </c>
      <c r="E327" s="8"/>
      <c r="F327" s="8"/>
      <c r="G327" s="8"/>
      <c r="H327" s="8"/>
      <c r="I327" s="8"/>
      <c r="J327" s="8"/>
      <c r="K327" s="8"/>
      <c r="L327" s="8"/>
      <c r="M327" s="8"/>
      <c r="N327" s="8"/>
      <c r="O327" s="8"/>
      <c r="P327" s="8"/>
      <c r="T327" s="922">
        <v>45707</v>
      </c>
      <c r="U327" s="923">
        <v>196.32</v>
      </c>
      <c r="V327" s="8"/>
      <c r="W327" s="8"/>
      <c r="X327" s="8"/>
      <c r="Y327" s="8"/>
      <c r="Z327" s="8"/>
      <c r="AA327" s="8"/>
      <c r="AB327" s="8"/>
      <c r="AC327" s="8"/>
    </row>
    <row r="328" ht="13.5" customHeight="1" spans="1:29" x14ac:dyDescent="0.25">
      <c r="A328" s="9"/>
      <c r="B328" s="8"/>
      <c r="C328" s="922">
        <v>45712</v>
      </c>
      <c r="D328" s="923">
        <v>200.74</v>
      </c>
      <c r="E328" s="8"/>
      <c r="F328" s="8"/>
      <c r="G328" s="8"/>
      <c r="H328" s="8"/>
      <c r="I328" s="8"/>
      <c r="J328" s="8"/>
      <c r="K328" s="8"/>
      <c r="L328" s="8"/>
      <c r="M328" s="8"/>
      <c r="N328" s="8"/>
      <c r="O328" s="8"/>
      <c r="P328" s="8"/>
      <c r="T328" s="922">
        <v>45706</v>
      </c>
      <c r="U328" s="923">
        <v>186.46</v>
      </c>
      <c r="V328" s="8"/>
      <c r="W328" s="8"/>
      <c r="X328" s="8"/>
      <c r="Y328" s="8"/>
      <c r="Z328" s="8"/>
      <c r="AA328" s="8"/>
      <c r="AB328" s="8"/>
      <c r="AC328" s="8"/>
    </row>
    <row r="329" ht="13.5" customHeight="1" spans="1:29" x14ac:dyDescent="0.25">
      <c r="A329" s="9"/>
      <c r="B329" s="8"/>
      <c r="C329" s="922">
        <v>45709</v>
      </c>
      <c r="D329" s="923">
        <v>202</v>
      </c>
      <c r="E329" s="8"/>
      <c r="F329" s="8"/>
      <c r="G329" s="8"/>
      <c r="H329" s="8"/>
      <c r="I329" s="8"/>
      <c r="J329" s="8"/>
      <c r="K329" s="8"/>
      <c r="L329" s="8"/>
      <c r="M329" s="8"/>
      <c r="N329" s="8"/>
      <c r="O329" s="8"/>
      <c r="P329" s="8"/>
      <c r="T329" s="922">
        <v>45701</v>
      </c>
      <c r="U329" s="923">
        <v>180.8</v>
      </c>
      <c r="V329" s="8"/>
      <c r="W329" s="8"/>
      <c r="X329" s="8"/>
      <c r="Y329" s="8"/>
      <c r="Z329" s="8"/>
      <c r="AA329" s="8"/>
      <c r="AB329" s="8"/>
      <c r="AC329" s="8"/>
    </row>
    <row r="330" ht="13.5" customHeight="1" spans="1:29" x14ac:dyDescent="0.25">
      <c r="A330" s="9"/>
      <c r="B330" s="8"/>
      <c r="C330" s="922">
        <v>45708</v>
      </c>
      <c r="D330" s="923">
        <v>203.96</v>
      </c>
      <c r="E330" s="8"/>
      <c r="F330" s="8"/>
      <c r="G330" s="8"/>
      <c r="H330" s="8"/>
      <c r="I330" s="8"/>
      <c r="J330" s="8"/>
      <c r="K330" s="8"/>
      <c r="L330" s="8"/>
      <c r="M330" s="8"/>
      <c r="N330" s="8"/>
      <c r="O330" s="8"/>
      <c r="P330" s="8"/>
      <c r="T330" s="922">
        <v>45700</v>
      </c>
      <c r="U330" s="923">
        <v>179.99</v>
      </c>
      <c r="V330" s="8"/>
      <c r="W330" s="8"/>
      <c r="X330" s="8"/>
      <c r="Y330" s="8"/>
      <c r="Z330" s="8"/>
      <c r="AA330" s="8"/>
      <c r="AB330" s="8"/>
      <c r="AC330" s="8"/>
    </row>
    <row r="331" ht="13.5" customHeight="1" spans="1:29" x14ac:dyDescent="0.25">
      <c r="A331" s="9"/>
      <c r="B331" s="8"/>
      <c r="C331" s="922">
        <v>45707</v>
      </c>
      <c r="D331" s="923">
        <v>196.32</v>
      </c>
      <c r="E331" s="8"/>
      <c r="F331" s="8"/>
      <c r="G331" s="8"/>
      <c r="H331" s="8"/>
      <c r="I331" s="8"/>
      <c r="J331" s="8"/>
      <c r="K331" s="8"/>
      <c r="L331" s="8"/>
      <c r="M331" s="8"/>
      <c r="N331" s="8"/>
      <c r="O331" s="8"/>
      <c r="P331" s="8"/>
      <c r="T331" s="922">
        <v>45699</v>
      </c>
      <c r="U331" s="923">
        <v>179.25</v>
      </c>
      <c r="V331" s="8"/>
      <c r="W331" s="8"/>
      <c r="X331" s="8"/>
      <c r="Y331" s="8"/>
      <c r="Z331" s="8"/>
      <c r="AA331" s="8"/>
      <c r="AB331" s="8"/>
      <c r="AC331" s="8"/>
    </row>
    <row r="332" ht="13.5" customHeight="1" spans="1:29" x14ac:dyDescent="0.25">
      <c r="A332" s="9"/>
      <c r="B332" s="8"/>
      <c r="C332" s="922">
        <v>45706</v>
      </c>
      <c r="D332" s="923">
        <v>186.46</v>
      </c>
      <c r="E332" s="8"/>
      <c r="F332" s="8"/>
      <c r="G332" s="8"/>
      <c r="H332" s="8"/>
      <c r="I332" s="8"/>
      <c r="J332" s="8"/>
      <c r="K332" s="8"/>
      <c r="L332" s="8"/>
      <c r="M332" s="8"/>
      <c r="N332" s="8"/>
      <c r="O332" s="8"/>
      <c r="P332" s="8"/>
      <c r="T332" s="922">
        <v>45698</v>
      </c>
      <c r="U332" s="923">
        <v>180.31</v>
      </c>
      <c r="V332" s="8"/>
      <c r="W332" s="8"/>
      <c r="X332" s="8"/>
      <c r="Y332" s="8"/>
      <c r="Z332" s="8"/>
      <c r="AA332" s="8"/>
      <c r="AB332" s="8"/>
      <c r="AC332" s="8"/>
    </row>
    <row r="333" ht="13.5" customHeight="1" spans="1:29" x14ac:dyDescent="0.25">
      <c r="A333" s="9"/>
      <c r="B333" s="8"/>
      <c r="C333" s="922">
        <v>45701</v>
      </c>
      <c r="D333" s="923">
        <v>180.8</v>
      </c>
      <c r="E333" s="8"/>
      <c r="F333" s="8"/>
      <c r="G333" s="8"/>
      <c r="H333" s="8"/>
      <c r="I333" s="8"/>
      <c r="J333" s="8"/>
      <c r="K333" s="8"/>
      <c r="L333" s="8"/>
      <c r="M333" s="8"/>
      <c r="N333" s="8"/>
      <c r="O333" s="8"/>
      <c r="P333" s="8"/>
      <c r="T333" s="922">
        <v>45695</v>
      </c>
      <c r="U333" s="923">
        <v>180</v>
      </c>
      <c r="V333" s="8"/>
      <c r="W333" s="8"/>
      <c r="X333" s="8"/>
      <c r="Y333" s="8"/>
      <c r="Z333" s="8"/>
      <c r="AA333" s="8"/>
      <c r="AB333" s="8"/>
      <c r="AC333" s="8"/>
    </row>
    <row r="334" ht="13.5" customHeight="1" spans="1:29" x14ac:dyDescent="0.25">
      <c r="A334" s="9"/>
      <c r="B334" s="8"/>
      <c r="C334" s="922">
        <v>45700</v>
      </c>
      <c r="D334" s="923">
        <v>179.99</v>
      </c>
      <c r="E334" s="8"/>
      <c r="F334" s="8"/>
      <c r="G334" s="8"/>
      <c r="H334" s="8"/>
      <c r="I334" s="8"/>
      <c r="J334" s="8"/>
      <c r="K334" s="8"/>
      <c r="L334" s="8"/>
      <c r="M334" s="8"/>
      <c r="N334" s="8"/>
      <c r="O334" s="8"/>
      <c r="P334" s="8"/>
      <c r="T334" s="922">
        <v>45693</v>
      </c>
      <c r="U334" s="923">
        <v>181.59</v>
      </c>
      <c r="V334" s="8"/>
      <c r="W334" s="8"/>
      <c r="X334" s="8"/>
      <c r="Y334" s="8"/>
      <c r="Z334" s="8"/>
      <c r="AA334" s="8"/>
      <c r="AB334" s="8"/>
      <c r="AC334" s="8"/>
    </row>
    <row r="335" ht="13.5" customHeight="1" spans="1:29" x14ac:dyDescent="0.25">
      <c r="A335" s="9"/>
      <c r="B335" s="8"/>
      <c r="C335" s="922">
        <v>45699</v>
      </c>
      <c r="D335" s="923">
        <v>179.25</v>
      </c>
      <c r="E335" s="8"/>
      <c r="F335" s="8"/>
      <c r="G335" s="8"/>
      <c r="H335" s="8"/>
      <c r="I335" s="8"/>
      <c r="J335" s="8"/>
      <c r="K335" s="8"/>
      <c r="L335" s="8"/>
      <c r="M335" s="8"/>
      <c r="N335" s="8"/>
      <c r="O335" s="8"/>
      <c r="P335" s="8"/>
      <c r="T335" s="922">
        <v>45692</v>
      </c>
      <c r="U335" s="923">
        <v>180.56</v>
      </c>
      <c r="V335" s="8"/>
      <c r="W335" s="8"/>
      <c r="X335" s="8"/>
      <c r="Y335" s="8"/>
      <c r="Z335" s="8"/>
      <c r="AA335" s="8"/>
      <c r="AB335" s="8"/>
      <c r="AC335" s="8"/>
    </row>
    <row r="336" ht="13.5" customHeight="1" spans="1:29" x14ac:dyDescent="0.25">
      <c r="A336" s="9"/>
      <c r="B336" s="8"/>
      <c r="C336" s="922">
        <v>45698</v>
      </c>
      <c r="D336" s="923">
        <v>180.31</v>
      </c>
      <c r="E336" s="8"/>
      <c r="F336" s="8"/>
      <c r="G336" s="8"/>
      <c r="H336" s="8"/>
      <c r="I336" s="8"/>
      <c r="J336" s="8"/>
      <c r="K336" s="8"/>
      <c r="L336" s="8"/>
      <c r="M336" s="8"/>
      <c r="N336" s="8"/>
      <c r="O336" s="8"/>
      <c r="P336" s="8"/>
      <c r="T336" s="922">
        <v>45691</v>
      </c>
      <c r="U336" s="923">
        <v>180.94</v>
      </c>
      <c r="V336" s="8"/>
      <c r="W336" s="8"/>
      <c r="X336" s="8"/>
      <c r="Y336" s="8"/>
      <c r="Z336" s="8"/>
      <c r="AA336" s="8"/>
      <c r="AB336" s="8"/>
      <c r="AC336" s="8"/>
    </row>
    <row r="337" ht="13.5" customHeight="1" spans="1:29" x14ac:dyDescent="0.25">
      <c r="A337" s="9"/>
      <c r="B337" s="8"/>
      <c r="C337" s="922">
        <v>45695</v>
      </c>
      <c r="D337" s="923">
        <v>180</v>
      </c>
      <c r="E337" s="8"/>
      <c r="F337" s="8"/>
      <c r="G337" s="8"/>
      <c r="H337" s="8"/>
      <c r="I337" s="8"/>
      <c r="J337" s="8"/>
      <c r="K337" s="8"/>
      <c r="L337" s="8"/>
      <c r="M337" s="8"/>
      <c r="N337" s="8"/>
      <c r="O337" s="8"/>
      <c r="P337" s="8"/>
      <c r="T337" s="922">
        <v>45688</v>
      </c>
      <c r="U337" s="923">
        <v>184.61</v>
      </c>
      <c r="V337" s="8"/>
      <c r="W337" s="8"/>
      <c r="X337" s="8"/>
      <c r="Y337" s="8"/>
      <c r="Z337" s="8"/>
      <c r="AA337" s="8"/>
      <c r="AB337" s="8"/>
      <c r="AC337" s="8"/>
    </row>
    <row r="338" ht="13.5" customHeight="1" spans="1:29" x14ac:dyDescent="0.25">
      <c r="A338" s="9"/>
      <c r="B338" s="8"/>
      <c r="C338" s="922">
        <v>45693</v>
      </c>
      <c r="D338" s="923">
        <v>181.59</v>
      </c>
      <c r="E338" s="8"/>
      <c r="F338" s="8"/>
      <c r="G338" s="8"/>
      <c r="H338" s="8"/>
      <c r="I338" s="8"/>
      <c r="J338" s="8"/>
      <c r="K338" s="8"/>
      <c r="L338" s="8"/>
      <c r="M338" s="8"/>
      <c r="N338" s="8"/>
      <c r="O338" s="8"/>
      <c r="P338" s="8"/>
      <c r="T338" s="922">
        <v>45686</v>
      </c>
      <c r="U338" s="923">
        <v>180.27</v>
      </c>
      <c r="V338" s="8"/>
      <c r="W338" s="8"/>
      <c r="X338" s="8"/>
      <c r="Y338" s="8"/>
      <c r="Z338" s="8"/>
      <c r="AA338" s="8"/>
      <c r="AB338" s="8"/>
      <c r="AC338" s="8"/>
    </row>
    <row r="339" ht="13.5" customHeight="1" spans="1:29" x14ac:dyDescent="0.25">
      <c r="A339" s="9"/>
      <c r="B339" s="8"/>
      <c r="C339" s="922">
        <v>45692</v>
      </c>
      <c r="D339" s="923">
        <v>180.56</v>
      </c>
      <c r="E339" s="8"/>
      <c r="F339" s="8"/>
      <c r="G339" s="8"/>
      <c r="H339" s="8"/>
      <c r="I339" s="8"/>
      <c r="J339" s="8"/>
      <c r="K339" s="8"/>
      <c r="L339" s="8"/>
      <c r="M339" s="8"/>
      <c r="N339" s="8"/>
      <c r="O339" s="8"/>
      <c r="P339" s="8"/>
      <c r="T339" s="922">
        <v>45685</v>
      </c>
      <c r="U339" s="923">
        <v>180.57</v>
      </c>
      <c r="V339" s="8"/>
      <c r="W339" s="8"/>
      <c r="X339" s="8"/>
      <c r="Y339" s="8"/>
      <c r="Z339" s="8"/>
      <c r="AA339" s="8"/>
      <c r="AB339" s="8"/>
      <c r="AC339" s="8"/>
    </row>
    <row r="340" ht="13.5" customHeight="1" spans="1:29" x14ac:dyDescent="0.25">
      <c r="A340" s="9"/>
      <c r="B340" s="8"/>
      <c r="C340" s="922">
        <v>45691</v>
      </c>
      <c r="D340" s="923">
        <v>180.94</v>
      </c>
      <c r="E340" s="8"/>
      <c r="F340" s="8"/>
      <c r="G340" s="8"/>
      <c r="H340" s="8"/>
      <c r="I340" s="8"/>
      <c r="J340" s="8"/>
      <c r="K340" s="8"/>
      <c r="L340" s="8"/>
      <c r="M340" s="8"/>
      <c r="N340" s="8"/>
      <c r="O340" s="8"/>
      <c r="P340" s="8"/>
      <c r="T340" s="922">
        <v>45684</v>
      </c>
      <c r="U340" s="923">
        <v>187.03</v>
      </c>
      <c r="V340" s="8"/>
      <c r="W340" s="8"/>
      <c r="X340" s="8"/>
      <c r="Y340" s="8"/>
      <c r="Z340" s="8"/>
      <c r="AA340" s="8"/>
      <c r="AB340" s="8"/>
      <c r="AC340" s="8"/>
    </row>
    <row r="341" ht="13.5" customHeight="1" spans="1:29" x14ac:dyDescent="0.25">
      <c r="A341" s="9"/>
      <c r="B341" s="8"/>
      <c r="C341" s="922">
        <v>45688</v>
      </c>
      <c r="D341" s="923">
        <v>184.61</v>
      </c>
      <c r="E341" s="8"/>
      <c r="F341" s="8"/>
      <c r="G341" s="8"/>
      <c r="H341" s="8"/>
      <c r="I341" s="8"/>
      <c r="J341" s="8"/>
      <c r="K341" s="8"/>
      <c r="L341" s="8"/>
      <c r="M341" s="8"/>
      <c r="N341" s="8"/>
      <c r="O341" s="8"/>
      <c r="P341" s="8"/>
      <c r="T341" s="922">
        <v>45681</v>
      </c>
      <c r="U341" s="923">
        <v>185.52</v>
      </c>
      <c r="V341" s="8"/>
      <c r="W341" s="8"/>
      <c r="X341" s="8"/>
      <c r="Y341" s="8"/>
      <c r="Z341" s="8"/>
      <c r="AA341" s="8"/>
      <c r="AB341" s="8"/>
      <c r="AC341" s="8"/>
    </row>
    <row r="342" ht="13.5" customHeight="1" spans="1:29" x14ac:dyDescent="0.25">
      <c r="A342" s="9"/>
      <c r="B342" s="8"/>
      <c r="C342" s="922">
        <v>45686</v>
      </c>
      <c r="D342" s="923">
        <v>180.27</v>
      </c>
      <c r="E342" s="8"/>
      <c r="F342" s="8"/>
      <c r="G342" s="8"/>
      <c r="H342" s="8"/>
      <c r="I342" s="8"/>
      <c r="J342" s="8"/>
      <c r="K342" s="8"/>
      <c r="L342" s="8"/>
      <c r="M342" s="8"/>
      <c r="N342" s="8"/>
      <c r="O342" s="8"/>
      <c r="P342" s="8"/>
      <c r="T342" s="922">
        <v>45680</v>
      </c>
      <c r="U342" s="923">
        <v>200.61</v>
      </c>
      <c r="V342" s="8"/>
      <c r="W342" s="8"/>
      <c r="X342" s="8"/>
      <c r="Y342" s="8"/>
      <c r="Z342" s="8"/>
      <c r="AA342" s="8"/>
      <c r="AB342" s="8"/>
      <c r="AC342" s="8"/>
    </row>
    <row r="343" ht="13.5" customHeight="1" spans="1:29" x14ac:dyDescent="0.25">
      <c r="A343" s="9"/>
      <c r="B343" s="8"/>
      <c r="C343" s="922">
        <v>45685</v>
      </c>
      <c r="D343" s="923">
        <v>180.57</v>
      </c>
      <c r="E343" s="8"/>
      <c r="F343" s="8"/>
      <c r="G343" s="8"/>
      <c r="H343" s="8"/>
      <c r="I343" s="8"/>
      <c r="J343" s="8"/>
      <c r="K343" s="8"/>
      <c r="L343" s="8"/>
      <c r="M343" s="8"/>
      <c r="N343" s="8"/>
      <c r="O343" s="8"/>
      <c r="P343" s="8"/>
      <c r="T343" s="922">
        <v>45678</v>
      </c>
      <c r="U343" s="923">
        <v>195.23</v>
      </c>
      <c r="V343" s="8"/>
      <c r="W343" s="8"/>
      <c r="X343" s="8"/>
      <c r="Y343" s="8"/>
      <c r="Z343" s="8"/>
      <c r="AA343" s="8"/>
      <c r="AB343" s="8"/>
      <c r="AC343" s="8"/>
    </row>
    <row r="344" ht="13.5" customHeight="1" spans="1:29" x14ac:dyDescent="0.25">
      <c r="A344" s="9"/>
      <c r="B344" s="8"/>
      <c r="C344" s="922">
        <v>45684</v>
      </c>
      <c r="D344" s="923">
        <v>187.03</v>
      </c>
      <c r="E344" s="8"/>
      <c r="F344" s="8"/>
      <c r="G344" s="8"/>
      <c r="H344" s="8"/>
      <c r="I344" s="8"/>
      <c r="J344" s="8"/>
      <c r="K344" s="8"/>
      <c r="L344" s="8"/>
      <c r="M344" s="8"/>
      <c r="N344" s="8"/>
      <c r="O344" s="8"/>
      <c r="P344" s="8"/>
      <c r="T344" s="922">
        <v>45674</v>
      </c>
      <c r="U344" s="923">
        <v>192.42</v>
      </c>
      <c r="V344" s="8"/>
      <c r="W344" s="8"/>
      <c r="X344" s="8"/>
      <c r="Y344" s="8"/>
      <c r="Z344" s="8"/>
      <c r="AA344" s="8"/>
      <c r="AB344" s="8"/>
      <c r="AC344" s="8"/>
    </row>
    <row r="345" ht="13.5" customHeight="1" spans="1:29" x14ac:dyDescent="0.25">
      <c r="A345" s="9"/>
      <c r="B345" s="8"/>
      <c r="C345" s="922">
        <v>45681</v>
      </c>
      <c r="D345" s="923">
        <v>185.52</v>
      </c>
      <c r="E345" s="8"/>
      <c r="F345" s="8"/>
      <c r="G345" s="8"/>
      <c r="H345" s="8"/>
      <c r="I345" s="8"/>
      <c r="J345" s="8"/>
      <c r="K345" s="8"/>
      <c r="L345" s="8"/>
      <c r="M345" s="8"/>
      <c r="N345" s="8"/>
      <c r="O345" s="8"/>
      <c r="P345" s="8"/>
      <c r="T345" s="922">
        <v>45673</v>
      </c>
      <c r="U345" s="923">
        <v>187.37</v>
      </c>
      <c r="V345" s="8"/>
      <c r="W345" s="8"/>
      <c r="X345" s="8"/>
      <c r="Y345" s="8"/>
      <c r="Z345" s="8"/>
      <c r="AA345" s="8"/>
      <c r="AB345" s="8"/>
      <c r="AC345" s="8"/>
    </row>
    <row r="346" ht="13.5" customHeight="1" spans="1:29" x14ac:dyDescent="0.25">
      <c r="A346" s="9"/>
      <c r="B346" s="8"/>
      <c r="C346" s="922">
        <v>45680</v>
      </c>
      <c r="D346" s="923">
        <v>200.61</v>
      </c>
      <c r="E346" s="8"/>
      <c r="F346" s="8"/>
      <c r="G346" s="8"/>
      <c r="H346" s="8"/>
      <c r="I346" s="8"/>
      <c r="J346" s="8"/>
      <c r="K346" s="8"/>
      <c r="L346" s="8"/>
      <c r="M346" s="8"/>
      <c r="N346" s="8"/>
      <c r="O346" s="8"/>
      <c r="P346" s="8"/>
      <c r="T346" s="922">
        <v>45672</v>
      </c>
      <c r="U346" s="923">
        <v>197.51</v>
      </c>
      <c r="V346" s="8"/>
      <c r="W346" s="8"/>
      <c r="X346" s="8"/>
      <c r="Y346" s="8"/>
      <c r="Z346" s="8"/>
      <c r="AA346" s="8"/>
      <c r="AB346" s="8"/>
      <c r="AC346" s="8"/>
    </row>
    <row r="347" ht="13.5" customHeight="1" spans="1:29" x14ac:dyDescent="0.25">
      <c r="A347" s="9"/>
      <c r="B347" s="8"/>
      <c r="C347" s="922">
        <v>45678</v>
      </c>
      <c r="D347" s="923">
        <v>195.23</v>
      </c>
      <c r="E347" s="8"/>
      <c r="F347" s="8"/>
      <c r="G347" s="8"/>
      <c r="H347" s="8"/>
      <c r="I347" s="8"/>
      <c r="J347" s="8"/>
      <c r="K347" s="8"/>
      <c r="L347" s="8"/>
      <c r="M347" s="8"/>
      <c r="N347" s="8"/>
      <c r="O347" s="8"/>
      <c r="P347" s="8"/>
      <c r="T347" s="922">
        <v>45671</v>
      </c>
      <c r="U347" s="923">
        <v>193.5</v>
      </c>
      <c r="V347" s="8"/>
      <c r="W347" s="8"/>
      <c r="X347" s="8"/>
      <c r="Y347" s="8"/>
      <c r="Z347" s="8"/>
      <c r="AA347" s="8"/>
      <c r="AB347" s="8"/>
      <c r="AC347" s="8"/>
    </row>
    <row r="348" ht="13.5" customHeight="1" spans="1:29" x14ac:dyDescent="0.25">
      <c r="A348" s="9"/>
      <c r="B348" s="8"/>
      <c r="C348" s="922">
        <v>45674</v>
      </c>
      <c r="D348" s="923">
        <v>192.42</v>
      </c>
      <c r="E348" s="8"/>
      <c r="F348" s="8"/>
      <c r="G348" s="8"/>
      <c r="H348" s="8"/>
      <c r="I348" s="8"/>
      <c r="J348" s="8"/>
      <c r="K348" s="8"/>
      <c r="L348" s="8"/>
      <c r="M348" s="8"/>
      <c r="N348" s="8"/>
      <c r="O348" s="8"/>
      <c r="P348" s="8"/>
      <c r="T348" s="922">
        <v>45667</v>
      </c>
      <c r="U348" s="923">
        <v>190.15</v>
      </c>
      <c r="V348" s="8"/>
      <c r="W348" s="8"/>
      <c r="X348" s="8"/>
      <c r="Y348" s="8"/>
      <c r="Z348" s="8"/>
      <c r="AA348" s="8"/>
      <c r="AB348" s="8"/>
      <c r="AC348" s="8"/>
    </row>
    <row r="349" ht="13.5" customHeight="1" spans="1:29" x14ac:dyDescent="0.25">
      <c r="A349" s="9"/>
      <c r="B349" s="8"/>
      <c r="C349" s="922">
        <v>45673</v>
      </c>
      <c r="D349" s="923">
        <v>187.37</v>
      </c>
      <c r="E349" s="8"/>
      <c r="F349" s="8"/>
      <c r="G349" s="8"/>
      <c r="H349" s="8"/>
      <c r="I349" s="8"/>
      <c r="J349" s="8"/>
      <c r="K349" s="8"/>
      <c r="L349" s="8"/>
      <c r="M349" s="8"/>
      <c r="N349" s="8"/>
      <c r="O349" s="8"/>
      <c r="P349" s="8"/>
      <c r="T349" s="922">
        <v>45665</v>
      </c>
      <c r="U349" s="923">
        <v>191.66</v>
      </c>
      <c r="V349" s="8"/>
      <c r="W349" s="8"/>
      <c r="X349" s="8"/>
      <c r="Y349" s="8"/>
      <c r="Z349" s="8"/>
      <c r="AA349" s="8"/>
      <c r="AB349" s="8"/>
      <c r="AC349" s="8"/>
    </row>
    <row r="350" ht="13.5" customHeight="1" spans="1:29" x14ac:dyDescent="0.25">
      <c r="A350" s="9"/>
      <c r="B350" s="8"/>
      <c r="C350" s="922">
        <v>45672</v>
      </c>
      <c r="D350" s="923">
        <v>197.51</v>
      </c>
      <c r="E350" s="8"/>
      <c r="F350" s="8"/>
      <c r="G350" s="8"/>
      <c r="H350" s="8"/>
      <c r="I350" s="8"/>
      <c r="J350" s="8"/>
      <c r="K350" s="8"/>
      <c r="L350" s="8"/>
      <c r="M350" s="8"/>
      <c r="N350" s="8"/>
      <c r="O350" s="8"/>
      <c r="P350" s="8"/>
      <c r="T350" s="922">
        <v>45664</v>
      </c>
      <c r="U350" s="923">
        <v>192.21</v>
      </c>
      <c r="V350" s="8"/>
      <c r="W350" s="8"/>
      <c r="X350" s="8"/>
      <c r="Y350" s="8"/>
      <c r="Z350" s="8"/>
      <c r="AA350" s="8"/>
      <c r="AB350" s="8"/>
      <c r="AC350" s="8"/>
    </row>
    <row r="351" ht="13.5" customHeight="1" spans="1:29" x14ac:dyDescent="0.25">
      <c r="A351" s="9"/>
      <c r="B351" s="8"/>
      <c r="C351" s="922">
        <v>45671</v>
      </c>
      <c r="D351" s="923">
        <v>193.5</v>
      </c>
      <c r="E351" s="8"/>
      <c r="F351" s="8"/>
      <c r="G351" s="8"/>
      <c r="H351" s="8"/>
      <c r="I351" s="8"/>
      <c r="J351" s="8"/>
      <c r="K351" s="8"/>
      <c r="L351" s="8"/>
      <c r="M351" s="8"/>
      <c r="N351" s="8"/>
      <c r="O351" s="8"/>
      <c r="P351" s="8"/>
      <c r="T351" s="922">
        <v>45663</v>
      </c>
      <c r="U351" s="923">
        <v>192.18</v>
      </c>
      <c r="V351" s="8"/>
      <c r="W351" s="8"/>
      <c r="X351" s="8"/>
      <c r="Y351" s="8"/>
      <c r="Z351" s="8"/>
      <c r="AA351" s="8"/>
      <c r="AB351" s="8"/>
      <c r="AC351" s="8"/>
    </row>
    <row r="352" ht="13.5" customHeight="1" spans="1:29" x14ac:dyDescent="0.25">
      <c r="A352" s="9"/>
      <c r="B352" s="8"/>
      <c r="C352" s="922">
        <v>45667</v>
      </c>
      <c r="D352" s="923">
        <v>190.15</v>
      </c>
      <c r="E352" s="8"/>
      <c r="F352" s="8"/>
      <c r="G352" s="8"/>
      <c r="H352" s="8"/>
      <c r="I352" s="8"/>
      <c r="J352" s="8"/>
      <c r="K352" s="8"/>
      <c r="L352" s="8"/>
      <c r="M352" s="8"/>
      <c r="N352" s="8"/>
      <c r="O352" s="8"/>
      <c r="P352" s="8"/>
      <c r="T352" s="922">
        <v>45660</v>
      </c>
      <c r="U352" s="923">
        <v>190.51</v>
      </c>
      <c r="V352" s="8"/>
      <c r="W352" s="8"/>
      <c r="X352" s="8"/>
      <c r="Y352" s="8"/>
      <c r="Z352" s="8"/>
      <c r="AA352" s="8"/>
      <c r="AB352" s="8"/>
      <c r="AC352" s="8"/>
    </row>
    <row r="353" ht="13.5" customHeight="1" spans="1:29" x14ac:dyDescent="0.25">
      <c r="A353" s="9"/>
      <c r="B353" s="8"/>
      <c r="C353" s="922">
        <v>45665</v>
      </c>
      <c r="D353" s="923">
        <v>191.66</v>
      </c>
      <c r="E353" s="8"/>
      <c r="F353" s="8"/>
      <c r="G353" s="8"/>
      <c r="H353" s="8"/>
      <c r="I353" s="8"/>
      <c r="J353" s="8"/>
      <c r="K353" s="8"/>
      <c r="L353" s="8"/>
      <c r="M353" s="8"/>
      <c r="N353" s="8"/>
      <c r="O353" s="8"/>
      <c r="P353" s="8"/>
      <c r="T353" s="922">
        <v>45657</v>
      </c>
      <c r="U353" s="923">
        <v>187.51</v>
      </c>
      <c r="V353" s="8"/>
      <c r="W353" s="8"/>
      <c r="X353" s="8"/>
      <c r="Y353" s="8"/>
      <c r="Z353" s="8"/>
      <c r="AA353" s="8"/>
      <c r="AB353" s="8"/>
      <c r="AC353" s="8"/>
    </row>
    <row r="354" ht="13.5" customHeight="1" spans="1:29" x14ac:dyDescent="0.25">
      <c r="A354" s="9"/>
      <c r="B354" s="8"/>
      <c r="C354" s="922">
        <v>45664</v>
      </c>
      <c r="D354" s="923">
        <v>192.21</v>
      </c>
      <c r="E354" s="8"/>
      <c r="F354" s="8"/>
      <c r="G354" s="8"/>
      <c r="H354" s="8"/>
      <c r="I354" s="8"/>
      <c r="J354" s="8"/>
      <c r="K354" s="8"/>
      <c r="L354" s="8"/>
      <c r="M354" s="8"/>
      <c r="N354" s="8"/>
      <c r="O354" s="8"/>
      <c r="P354" s="8"/>
      <c r="T354" s="922">
        <v>45656</v>
      </c>
      <c r="U354" s="923">
        <v>187.96</v>
      </c>
      <c r="V354" s="8"/>
      <c r="W354" s="8"/>
      <c r="X354" s="8"/>
      <c r="Y354" s="8"/>
      <c r="Z354" s="8"/>
      <c r="AA354" s="8"/>
      <c r="AB354" s="8"/>
      <c r="AC354" s="8"/>
    </row>
    <row r="355" ht="13.5" customHeight="1" spans="1:29" x14ac:dyDescent="0.25">
      <c r="A355" s="9"/>
      <c r="B355" s="8"/>
      <c r="C355" s="922">
        <v>45663</v>
      </c>
      <c r="D355" s="923">
        <v>192.18</v>
      </c>
      <c r="E355" s="8"/>
      <c r="F355" s="8"/>
      <c r="G355" s="8"/>
      <c r="H355" s="8"/>
      <c r="I355" s="8"/>
      <c r="J355" s="8"/>
      <c r="K355" s="8"/>
      <c r="L355" s="8"/>
      <c r="M355" s="8"/>
      <c r="N355" s="8"/>
      <c r="O355" s="8"/>
      <c r="P355" s="8"/>
      <c r="T355" s="922">
        <v>45653</v>
      </c>
      <c r="U355" s="923">
        <v>191.18</v>
      </c>
      <c r="V355" s="8"/>
      <c r="W355" s="8"/>
      <c r="X355" s="8"/>
      <c r="Y355" s="8"/>
      <c r="Z355" s="8"/>
      <c r="AA355" s="8"/>
      <c r="AB355" s="8"/>
      <c r="AC355" s="8"/>
    </row>
    <row r="356" ht="13.5" customHeight="1" spans="1:29" x14ac:dyDescent="0.25">
      <c r="A356" s="9"/>
      <c r="B356" s="8"/>
      <c r="C356" s="922">
        <v>45660</v>
      </c>
      <c r="D356" s="923">
        <v>190.51</v>
      </c>
      <c r="E356" s="8"/>
      <c r="F356" s="8"/>
      <c r="G356" s="8"/>
      <c r="H356" s="8"/>
      <c r="I356" s="8"/>
      <c r="J356" s="8"/>
      <c r="K356" s="8"/>
      <c r="L356" s="8"/>
      <c r="M356" s="8"/>
      <c r="N356" s="8"/>
      <c r="O356" s="8"/>
      <c r="P356" s="8"/>
      <c r="T356" s="922">
        <v>45652</v>
      </c>
      <c r="U356" s="923">
        <v>191.73</v>
      </c>
      <c r="V356" s="8"/>
      <c r="W356" s="8"/>
      <c r="X356" s="8"/>
      <c r="Y356" s="8"/>
      <c r="Z356" s="8"/>
      <c r="AA356" s="8"/>
      <c r="AB356" s="8"/>
      <c r="AC356" s="8"/>
    </row>
    <row r="357" ht="13.5" customHeight="1" spans="1:29" x14ac:dyDescent="0.25">
      <c r="A357" s="9"/>
      <c r="B357" s="8"/>
      <c r="C357" s="922">
        <v>45657</v>
      </c>
      <c r="D357" s="923">
        <v>187.51</v>
      </c>
      <c r="E357" s="8"/>
      <c r="F357" s="8"/>
      <c r="G357" s="8"/>
      <c r="H357" s="8"/>
      <c r="I357" s="8"/>
      <c r="J357" s="8"/>
      <c r="K357" s="8"/>
      <c r="L357" s="8"/>
      <c r="M357" s="8"/>
      <c r="N357" s="8"/>
      <c r="O357" s="8"/>
      <c r="P357" s="8"/>
      <c r="T357" s="922">
        <v>45649</v>
      </c>
      <c r="U357" s="923">
        <v>190.14</v>
      </c>
      <c r="V357" s="8"/>
      <c r="W357" s="8"/>
      <c r="X357" s="8"/>
      <c r="Y357" s="8"/>
      <c r="Z357" s="8"/>
      <c r="AA357" s="8"/>
      <c r="AB357" s="8"/>
      <c r="AC357" s="8"/>
    </row>
    <row r="358" ht="13.5" customHeight="1" spans="1:29" x14ac:dyDescent="0.25">
      <c r="A358" s="9"/>
      <c r="B358" s="8"/>
      <c r="C358" s="922">
        <v>45656</v>
      </c>
      <c r="D358" s="923">
        <v>187.96</v>
      </c>
      <c r="E358" s="8"/>
      <c r="F358" s="8"/>
      <c r="G358" s="8"/>
      <c r="H358" s="8"/>
      <c r="I358" s="8"/>
      <c r="J358" s="8"/>
      <c r="K358" s="8"/>
      <c r="L358" s="8"/>
      <c r="M358" s="8"/>
      <c r="N358" s="8"/>
      <c r="O358" s="8"/>
      <c r="P358" s="8"/>
      <c r="T358" s="922">
        <v>45646</v>
      </c>
      <c r="U358" s="923">
        <v>186.87</v>
      </c>
      <c r="V358" s="8"/>
      <c r="W358" s="8"/>
      <c r="X358" s="8"/>
      <c r="Y358" s="8"/>
      <c r="Z358" s="8"/>
      <c r="AA358" s="8"/>
      <c r="AB358" s="8"/>
      <c r="AC358" s="8"/>
    </row>
    <row r="359" ht="13.5" customHeight="1" spans="1:29" x14ac:dyDescent="0.25">
      <c r="A359" s="9"/>
      <c r="B359" s="8"/>
      <c r="C359" s="922">
        <v>45653</v>
      </c>
      <c r="D359" s="923">
        <v>191.18</v>
      </c>
      <c r="E359" s="8"/>
      <c r="F359" s="8"/>
      <c r="G359" s="8"/>
      <c r="H359" s="8"/>
      <c r="I359" s="8"/>
      <c r="J359" s="8"/>
      <c r="K359" s="8"/>
      <c r="L359" s="8"/>
      <c r="M359" s="8"/>
      <c r="N359" s="8"/>
      <c r="O359" s="8"/>
      <c r="P359" s="8"/>
      <c r="T359" s="922">
        <v>45645</v>
      </c>
      <c r="U359" s="923">
        <v>184.47</v>
      </c>
      <c r="V359" s="8"/>
      <c r="W359" s="8"/>
      <c r="X359" s="8"/>
      <c r="Y359" s="8"/>
      <c r="Z359" s="8"/>
      <c r="AA359" s="8"/>
      <c r="AB359" s="8"/>
      <c r="AC359" s="8"/>
    </row>
    <row r="360" ht="13.5" customHeight="1" spans="1:29" x14ac:dyDescent="0.25">
      <c r="A360" s="9"/>
      <c r="B360" s="8"/>
      <c r="C360" s="922">
        <v>45652</v>
      </c>
      <c r="D360" s="923">
        <v>191.73</v>
      </c>
      <c r="E360" s="8"/>
      <c r="F360" s="8"/>
      <c r="G360" s="8"/>
      <c r="H360" s="8"/>
      <c r="I360" s="8"/>
      <c r="J360" s="8"/>
      <c r="K360" s="8"/>
      <c r="L360" s="8"/>
      <c r="M360" s="8"/>
      <c r="N360" s="8"/>
      <c r="O360" s="8"/>
      <c r="P360" s="8"/>
      <c r="T360" s="922">
        <v>45644</v>
      </c>
      <c r="U360" s="923">
        <v>185</v>
      </c>
      <c r="V360" s="8"/>
      <c r="W360" s="8"/>
      <c r="X360" s="8"/>
      <c r="Y360" s="8"/>
      <c r="Z360" s="8"/>
      <c r="AA360" s="8"/>
      <c r="AB360" s="8"/>
      <c r="AC360" s="8"/>
    </row>
    <row r="361" ht="13.5" customHeight="1" spans="1:29" x14ac:dyDescent="0.25">
      <c r="A361" s="9"/>
      <c r="B361" s="8"/>
      <c r="C361" s="922">
        <v>45649</v>
      </c>
      <c r="D361" s="923">
        <v>190.14</v>
      </c>
      <c r="E361" s="8"/>
      <c r="F361" s="8"/>
      <c r="G361" s="8"/>
      <c r="H361" s="8"/>
      <c r="I361" s="8"/>
      <c r="J361" s="8"/>
      <c r="K361" s="8"/>
      <c r="L361" s="8"/>
      <c r="M361" s="8"/>
      <c r="N361" s="8"/>
      <c r="O361" s="8"/>
      <c r="P361" s="8"/>
      <c r="T361" s="922">
        <v>45643</v>
      </c>
      <c r="U361" s="923">
        <v>188.12</v>
      </c>
      <c r="V361" s="8"/>
      <c r="W361" s="8"/>
      <c r="X361" s="8"/>
      <c r="Y361" s="8"/>
      <c r="Z361" s="8"/>
      <c r="AA361" s="8"/>
      <c r="AB361" s="8"/>
      <c r="AC361" s="8"/>
    </row>
    <row r="362" ht="13.5" customHeight="1" spans="1:29" x14ac:dyDescent="0.25">
      <c r="A362" s="9"/>
      <c r="B362" s="8"/>
      <c r="C362" s="922">
        <v>45646</v>
      </c>
      <c r="D362" s="923">
        <v>186.87</v>
      </c>
      <c r="E362" s="8"/>
      <c r="F362" s="8"/>
      <c r="G362" s="8"/>
      <c r="H362" s="8"/>
      <c r="I362" s="8"/>
      <c r="J362" s="8"/>
      <c r="K362" s="8"/>
      <c r="L362" s="8"/>
      <c r="M362" s="8"/>
      <c r="N362" s="8"/>
      <c r="O362" s="8"/>
      <c r="P362" s="8"/>
      <c r="T362" s="922">
        <v>45639</v>
      </c>
      <c r="U362" s="923">
        <v>191.59</v>
      </c>
      <c r="V362" s="8"/>
      <c r="W362" s="8"/>
      <c r="X362" s="8"/>
      <c r="Y362" s="8"/>
      <c r="Z362" s="8"/>
      <c r="AA362" s="8"/>
      <c r="AB362" s="8"/>
      <c r="AC362" s="8"/>
    </row>
    <row r="363" ht="13.5" customHeight="1" spans="1:29" x14ac:dyDescent="0.25">
      <c r="A363" s="9"/>
      <c r="B363" s="8"/>
      <c r="C363" s="922">
        <v>45645</v>
      </c>
      <c r="D363" s="923">
        <v>184.47</v>
      </c>
      <c r="E363" s="8"/>
      <c r="F363" s="8"/>
      <c r="G363" s="8"/>
      <c r="H363" s="8"/>
      <c r="I363" s="8"/>
      <c r="J363" s="8"/>
      <c r="K363" s="8"/>
      <c r="L363" s="8"/>
      <c r="M363" s="8"/>
      <c r="N363" s="8"/>
      <c r="O363" s="8"/>
      <c r="P363" s="8"/>
      <c r="T363" s="922">
        <v>45638</v>
      </c>
      <c r="U363" s="923">
        <v>191.71</v>
      </c>
      <c r="V363" s="8"/>
      <c r="W363" s="8"/>
      <c r="X363" s="8"/>
      <c r="Y363" s="8"/>
      <c r="Z363" s="8"/>
      <c r="AA363" s="8"/>
      <c r="AB363" s="8"/>
      <c r="AC363" s="8"/>
    </row>
    <row r="364" ht="13.5" customHeight="1" spans="1:29" x14ac:dyDescent="0.25">
      <c r="A364" s="9"/>
      <c r="B364" s="8"/>
      <c r="C364" s="922">
        <v>45644</v>
      </c>
      <c r="D364" s="923">
        <v>185</v>
      </c>
      <c r="E364" s="8"/>
      <c r="F364" s="8"/>
      <c r="G364" s="8"/>
      <c r="H364" s="8"/>
      <c r="I364" s="8"/>
      <c r="J364" s="8"/>
      <c r="K364" s="8"/>
      <c r="L364" s="8"/>
      <c r="M364" s="8"/>
      <c r="N364" s="8"/>
      <c r="O364" s="8"/>
      <c r="P364" s="8"/>
      <c r="T364" s="922">
        <v>45637</v>
      </c>
      <c r="U364" s="923">
        <v>191.7</v>
      </c>
      <c r="V364" s="8"/>
      <c r="W364" s="8"/>
      <c r="X364" s="8"/>
      <c r="Y364" s="8"/>
      <c r="Z364" s="8"/>
      <c r="AA364" s="8"/>
      <c r="AB364" s="8"/>
      <c r="AC364" s="8"/>
    </row>
    <row r="365" ht="13.5" customHeight="1" spans="1:29" x14ac:dyDescent="0.25">
      <c r="A365" s="9"/>
      <c r="B365" s="8"/>
      <c r="C365" s="922">
        <v>45643</v>
      </c>
      <c r="D365" s="923">
        <v>188.12</v>
      </c>
      <c r="E365" s="8"/>
      <c r="F365" s="8"/>
      <c r="G365" s="8"/>
      <c r="H365" s="8"/>
      <c r="I365" s="8"/>
      <c r="J365" s="8"/>
      <c r="K365" s="8"/>
      <c r="L365" s="8"/>
      <c r="M365" s="8"/>
      <c r="N365" s="8"/>
      <c r="O365" s="8"/>
      <c r="P365" s="8"/>
      <c r="T365" s="922">
        <v>45636</v>
      </c>
      <c r="U365" s="923">
        <v>190.18</v>
      </c>
      <c r="V365" s="8"/>
      <c r="W365" s="8"/>
      <c r="X365" s="8"/>
      <c r="Y365" s="8"/>
      <c r="Z365" s="8"/>
      <c r="AA365" s="8"/>
      <c r="AB365" s="8"/>
      <c r="AC365" s="8"/>
    </row>
    <row r="366" ht="13.5" customHeight="1" spans="1:29" x14ac:dyDescent="0.25">
      <c r="A366" s="9"/>
      <c r="B366" s="8"/>
      <c r="C366" s="922">
        <v>45639</v>
      </c>
      <c r="D366" s="923">
        <v>191.59</v>
      </c>
      <c r="E366" s="8"/>
      <c r="F366" s="8"/>
      <c r="G366" s="8"/>
      <c r="H366" s="8"/>
      <c r="I366" s="8"/>
      <c r="J366" s="8"/>
      <c r="K366" s="8"/>
      <c r="L366" s="8"/>
      <c r="M366" s="8"/>
      <c r="N366" s="8"/>
      <c r="O366" s="8"/>
      <c r="P366" s="8"/>
      <c r="T366" s="922">
        <v>45632</v>
      </c>
      <c r="U366" s="923">
        <v>193.1</v>
      </c>
      <c r="V366" s="8"/>
      <c r="W366" s="8"/>
      <c r="X366" s="8"/>
      <c r="Y366" s="8"/>
      <c r="Z366" s="8"/>
      <c r="AA366" s="8"/>
      <c r="AB366" s="8"/>
      <c r="AC366" s="8"/>
    </row>
    <row r="367" ht="13.5" customHeight="1" spans="1:29" x14ac:dyDescent="0.25">
      <c r="A367" s="9"/>
      <c r="B367" s="8"/>
      <c r="C367" s="922">
        <v>45638</v>
      </c>
      <c r="D367" s="923">
        <v>191.71</v>
      </c>
      <c r="E367" s="8"/>
      <c r="F367" s="8"/>
      <c r="G367" s="8"/>
      <c r="H367" s="8"/>
      <c r="I367" s="8"/>
      <c r="J367" s="8"/>
      <c r="K367" s="8"/>
      <c r="L367" s="8"/>
      <c r="M367" s="8"/>
      <c r="N367" s="8"/>
      <c r="O367" s="8"/>
      <c r="P367" s="8"/>
      <c r="T367" s="922">
        <v>45631</v>
      </c>
      <c r="U367" s="923">
        <v>192.99</v>
      </c>
      <c r="V367" s="8"/>
      <c r="W367" s="8"/>
      <c r="X367" s="8"/>
      <c r="Y367" s="8"/>
      <c r="Z367" s="8"/>
      <c r="AA367" s="8"/>
      <c r="AB367" s="8"/>
      <c r="AC367" s="8"/>
    </row>
    <row r="368" ht="13.5" customHeight="1" spans="1:29" x14ac:dyDescent="0.25">
      <c r="A368" s="9"/>
      <c r="B368" s="8"/>
      <c r="C368" s="922">
        <v>45637</v>
      </c>
      <c r="D368" s="923">
        <v>191.7</v>
      </c>
      <c r="E368" s="8"/>
      <c r="F368" s="8"/>
      <c r="G368" s="8"/>
      <c r="H368" s="8"/>
      <c r="I368" s="8"/>
      <c r="J368" s="8"/>
      <c r="K368" s="8"/>
      <c r="L368" s="8"/>
      <c r="M368" s="8"/>
      <c r="N368" s="8"/>
      <c r="O368" s="8"/>
      <c r="P368" s="8"/>
      <c r="T368" s="922">
        <v>45630</v>
      </c>
      <c r="U368" s="923">
        <v>196.65</v>
      </c>
      <c r="V368" s="8"/>
      <c r="W368" s="8"/>
      <c r="X368" s="8"/>
      <c r="Y368" s="8"/>
      <c r="Z368" s="8"/>
      <c r="AA368" s="8"/>
      <c r="AB368" s="8"/>
      <c r="AC368" s="8"/>
    </row>
    <row r="369" ht="13.5" customHeight="1" spans="1:29" x14ac:dyDescent="0.25">
      <c r="A369" s="9"/>
      <c r="B369" s="8"/>
      <c r="C369" s="922">
        <v>45636</v>
      </c>
      <c r="D369" s="923">
        <v>190.18</v>
      </c>
      <c r="E369" s="8"/>
      <c r="F369" s="8"/>
      <c r="G369" s="8"/>
      <c r="H369" s="8"/>
      <c r="I369" s="8"/>
      <c r="J369" s="8"/>
      <c r="K369" s="8"/>
      <c r="L369" s="8"/>
      <c r="M369" s="8"/>
      <c r="N369" s="8"/>
      <c r="O369" s="8"/>
      <c r="P369" s="8"/>
      <c r="T369" s="922">
        <v>45629</v>
      </c>
      <c r="U369" s="923">
        <v>197.23</v>
      </c>
      <c r="V369" s="8"/>
      <c r="W369" s="8"/>
      <c r="X369" s="8"/>
      <c r="Y369" s="8"/>
      <c r="Z369" s="8"/>
      <c r="AA369" s="8"/>
      <c r="AB369" s="8"/>
      <c r="AC369" s="8"/>
    </row>
    <row r="370" ht="13.5" customHeight="1" spans="1:29" x14ac:dyDescent="0.25">
      <c r="A370" s="9"/>
      <c r="B370" s="8"/>
      <c r="C370" s="922">
        <v>45632</v>
      </c>
      <c r="D370" s="923">
        <v>193.1</v>
      </c>
      <c r="E370" s="8"/>
      <c r="F370" s="8"/>
      <c r="G370" s="8"/>
      <c r="H370" s="8"/>
      <c r="I370" s="8"/>
      <c r="J370" s="8"/>
      <c r="K370" s="8"/>
      <c r="L370" s="8"/>
      <c r="M370" s="8"/>
      <c r="N370" s="8"/>
      <c r="O370" s="8"/>
      <c r="P370" s="8"/>
      <c r="T370" s="922">
        <v>45625</v>
      </c>
      <c r="U370" s="923">
        <v>201.03</v>
      </c>
      <c r="V370" s="8"/>
      <c r="W370" s="8"/>
      <c r="X370" s="8"/>
      <c r="Y370" s="8"/>
      <c r="Z370" s="8"/>
      <c r="AA370" s="8"/>
      <c r="AB370" s="8"/>
      <c r="AC370" s="8"/>
    </row>
    <row r="371" ht="13.5" customHeight="1" spans="1:29" x14ac:dyDescent="0.25">
      <c r="A371" s="9"/>
      <c r="B371" s="8"/>
      <c r="C371" s="922">
        <v>45631</v>
      </c>
      <c r="D371" s="923">
        <v>192.99</v>
      </c>
      <c r="E371" s="8"/>
      <c r="F371" s="8"/>
      <c r="G371" s="8"/>
      <c r="H371" s="8"/>
      <c r="I371" s="8"/>
      <c r="J371" s="8"/>
      <c r="K371" s="8"/>
      <c r="L371" s="8"/>
      <c r="M371" s="8"/>
      <c r="N371" s="8"/>
      <c r="O371" s="8"/>
      <c r="P371" s="8"/>
      <c r="T371" s="922">
        <v>45623</v>
      </c>
      <c r="U371" s="923">
        <v>199.19</v>
      </c>
      <c r="V371" s="8"/>
      <c r="W371" s="8"/>
      <c r="X371" s="8"/>
      <c r="Y371" s="8"/>
      <c r="Z371" s="8"/>
      <c r="AA371" s="8"/>
      <c r="AB371" s="8"/>
      <c r="AC371" s="8"/>
    </row>
    <row r="372" ht="13.5" customHeight="1" spans="1:29" x14ac:dyDescent="0.25">
      <c r="A372" s="9"/>
      <c r="B372" s="8"/>
      <c r="C372" s="922">
        <v>45630</v>
      </c>
      <c r="D372" s="923">
        <v>196.65</v>
      </c>
      <c r="E372" s="8"/>
      <c r="F372" s="8"/>
      <c r="G372" s="8"/>
      <c r="H372" s="8"/>
      <c r="I372" s="8"/>
      <c r="J372" s="8"/>
      <c r="K372" s="8"/>
      <c r="L372" s="8"/>
      <c r="M372" s="8"/>
      <c r="N372" s="8"/>
      <c r="O372" s="8"/>
      <c r="P372" s="8"/>
      <c r="T372" s="922">
        <v>45622</v>
      </c>
      <c r="U372" s="923">
        <v>200.95</v>
      </c>
      <c r="V372" s="8"/>
      <c r="W372" s="8"/>
      <c r="X372" s="8"/>
      <c r="Y372" s="8"/>
      <c r="Z372" s="8"/>
      <c r="AA372" s="8"/>
      <c r="AB372" s="8"/>
      <c r="AC372" s="8"/>
    </row>
    <row r="373" ht="13.5" customHeight="1" spans="1:29" x14ac:dyDescent="0.25">
      <c r="A373" s="9"/>
      <c r="B373" s="8"/>
      <c r="C373" s="922">
        <v>45629</v>
      </c>
      <c r="D373" s="923">
        <v>197.23</v>
      </c>
      <c r="E373" s="8"/>
      <c r="F373" s="8"/>
      <c r="G373" s="8"/>
      <c r="H373" s="8"/>
      <c r="I373" s="8"/>
      <c r="J373" s="8"/>
      <c r="K373" s="8"/>
      <c r="L373" s="8"/>
      <c r="M373" s="8"/>
      <c r="N373" s="8"/>
      <c r="O373" s="8"/>
      <c r="P373" s="8"/>
      <c r="T373" s="922">
        <v>45621</v>
      </c>
      <c r="U373" s="923">
        <v>202.93</v>
      </c>
      <c r="V373" s="8"/>
      <c r="W373" s="8"/>
      <c r="X373" s="8"/>
      <c r="Y373" s="8"/>
      <c r="Z373" s="8"/>
      <c r="AA373" s="8"/>
      <c r="AB373" s="8"/>
      <c r="AC373" s="8"/>
    </row>
    <row r="374" ht="13.5" customHeight="1" spans="1:29" x14ac:dyDescent="0.25">
      <c r="A374" s="9"/>
      <c r="B374" s="8"/>
      <c r="C374" s="922">
        <v>45625</v>
      </c>
      <c r="D374" s="923">
        <v>201.03</v>
      </c>
      <c r="E374" s="8"/>
      <c r="F374" s="8"/>
      <c r="G374" s="8"/>
      <c r="H374" s="8"/>
      <c r="I374" s="8"/>
      <c r="J374" s="8"/>
      <c r="K374" s="8"/>
      <c r="L374" s="8"/>
      <c r="M374" s="8"/>
      <c r="N374" s="8"/>
      <c r="O374" s="8"/>
      <c r="P374" s="8"/>
      <c r="T374" s="922">
        <v>45617</v>
      </c>
      <c r="U374" s="923">
        <v>198.2</v>
      </c>
      <c r="V374" s="8"/>
      <c r="W374" s="8"/>
      <c r="X374" s="8"/>
      <c r="Y374" s="8"/>
      <c r="Z374" s="8"/>
      <c r="AA374" s="8"/>
      <c r="AB374" s="8"/>
      <c r="AC374" s="8"/>
    </row>
    <row r="375" ht="13.5" customHeight="1" spans="1:29" x14ac:dyDescent="0.25">
      <c r="A375" s="9"/>
      <c r="B375" s="8"/>
      <c r="C375" s="922">
        <v>45623</v>
      </c>
      <c r="D375" s="923">
        <v>199.19</v>
      </c>
      <c r="E375" s="8"/>
      <c r="F375" s="8"/>
      <c r="G375" s="8"/>
      <c r="H375" s="8"/>
      <c r="I375" s="8"/>
      <c r="J375" s="8"/>
      <c r="K375" s="8"/>
      <c r="L375" s="8"/>
      <c r="M375" s="8"/>
      <c r="N375" s="8"/>
      <c r="O375" s="8"/>
      <c r="P375" s="8"/>
      <c r="T375" s="922">
        <v>45616</v>
      </c>
      <c r="U375" s="923">
        <v>198.19</v>
      </c>
      <c r="V375" s="8"/>
      <c r="W375" s="8"/>
      <c r="X375" s="8"/>
      <c r="Y375" s="8"/>
      <c r="Z375" s="8"/>
      <c r="AA375" s="8"/>
      <c r="AB375" s="8"/>
      <c r="AC375" s="8"/>
    </row>
    <row r="376" ht="13.5" customHeight="1" spans="1:29" x14ac:dyDescent="0.25">
      <c r="A376" s="9"/>
      <c r="B376" s="8"/>
      <c r="C376" s="922">
        <v>45622</v>
      </c>
      <c r="D376" s="923">
        <v>200.95</v>
      </c>
      <c r="E376" s="8"/>
      <c r="F376" s="8"/>
      <c r="G376" s="8"/>
      <c r="H376" s="8"/>
      <c r="I376" s="8"/>
      <c r="J376" s="8"/>
      <c r="K376" s="8"/>
      <c r="L376" s="8"/>
      <c r="M376" s="8"/>
      <c r="N376" s="8"/>
      <c r="O376" s="8"/>
      <c r="P376" s="8"/>
      <c r="T376" s="922">
        <v>45615</v>
      </c>
      <c r="U376" s="923">
        <v>201.07</v>
      </c>
      <c r="V376" s="8"/>
      <c r="W376" s="8"/>
      <c r="X376" s="8"/>
      <c r="Y376" s="8"/>
      <c r="Z376" s="8"/>
      <c r="AA376" s="8"/>
      <c r="AB376" s="8"/>
      <c r="AC376" s="8"/>
    </row>
    <row r="377" ht="13.5" customHeight="1" spans="1:29" x14ac:dyDescent="0.25">
      <c r="A377" s="9"/>
      <c r="B377" s="8"/>
      <c r="C377" s="922">
        <v>45621</v>
      </c>
      <c r="D377" s="923">
        <v>202.93</v>
      </c>
      <c r="E377" s="8"/>
      <c r="F377" s="8"/>
      <c r="G377" s="8"/>
      <c r="H377" s="8"/>
      <c r="I377" s="8"/>
      <c r="J377" s="8"/>
      <c r="K377" s="8"/>
      <c r="L377" s="8"/>
      <c r="M377" s="8"/>
      <c r="N377" s="8"/>
      <c r="O377" s="8"/>
      <c r="P377" s="8"/>
      <c r="T377" s="922">
        <v>45614</v>
      </c>
      <c r="U377" s="923">
        <v>207.18</v>
      </c>
      <c r="V377" s="8"/>
      <c r="W377" s="8"/>
      <c r="X377" s="8"/>
      <c r="Y377" s="8"/>
      <c r="Z377" s="8"/>
      <c r="AA377" s="8"/>
      <c r="AB377" s="8"/>
      <c r="AC377" s="8"/>
    </row>
    <row r="378" ht="13.5" customHeight="1" spans="1:29" x14ac:dyDescent="0.25">
      <c r="A378" s="9"/>
      <c r="B378" s="8"/>
      <c r="C378" s="922">
        <v>45617</v>
      </c>
      <c r="D378" s="923">
        <v>198.2</v>
      </c>
      <c r="E378" s="8"/>
      <c r="F378" s="8"/>
      <c r="G378" s="8"/>
      <c r="H378" s="8"/>
      <c r="I378" s="8"/>
      <c r="J378" s="8"/>
      <c r="K378" s="8"/>
      <c r="L378" s="8"/>
      <c r="M378" s="8"/>
      <c r="N378" s="8"/>
      <c r="O378" s="8"/>
      <c r="P378" s="8"/>
      <c r="T378" s="922">
        <v>45611</v>
      </c>
      <c r="U378" s="923">
        <v>201.12</v>
      </c>
      <c r="V378" s="8"/>
      <c r="W378" s="8"/>
      <c r="X378" s="8"/>
      <c r="Y378" s="8"/>
      <c r="Z378" s="8"/>
      <c r="AA378" s="8"/>
      <c r="AB378" s="8"/>
      <c r="AC378" s="8"/>
    </row>
    <row r="379" ht="13.5" customHeight="1" spans="1:29" x14ac:dyDescent="0.25">
      <c r="A379" s="9"/>
      <c r="B379" s="8"/>
      <c r="C379" s="922">
        <v>45616</v>
      </c>
      <c r="D379" s="923">
        <v>198.19</v>
      </c>
      <c r="E379" s="8"/>
      <c r="F379" s="8"/>
      <c r="G379" s="8"/>
      <c r="H379" s="8"/>
      <c r="I379" s="8"/>
      <c r="J379" s="8"/>
      <c r="K379" s="8"/>
      <c r="L379" s="8"/>
      <c r="M379" s="8"/>
      <c r="N379" s="8"/>
      <c r="O379" s="8"/>
      <c r="P379" s="8"/>
      <c r="T379" s="922">
        <v>45609</v>
      </c>
      <c r="U379" s="923">
        <v>205.72</v>
      </c>
      <c r="V379" s="8"/>
      <c r="W379" s="8"/>
      <c r="X379" s="8"/>
      <c r="Y379" s="8"/>
      <c r="Z379" s="8"/>
      <c r="AA379" s="8"/>
      <c r="AB379" s="8"/>
      <c r="AC379" s="8"/>
    </row>
    <row r="380" ht="13.5" customHeight="1" spans="1:29" x14ac:dyDescent="0.25">
      <c r="A380" s="9"/>
      <c r="B380" s="8"/>
      <c r="C380" s="922">
        <v>45615</v>
      </c>
      <c r="D380" s="923">
        <v>201.07</v>
      </c>
      <c r="E380" s="8"/>
      <c r="F380" s="8"/>
      <c r="G380" s="8"/>
      <c r="H380" s="8"/>
      <c r="I380" s="8"/>
      <c r="J380" s="8"/>
      <c r="K380" s="8"/>
      <c r="L380" s="8"/>
      <c r="M380" s="8"/>
      <c r="N380" s="8"/>
      <c r="O380" s="8"/>
      <c r="P380" s="8"/>
      <c r="T380" s="922">
        <v>45608</v>
      </c>
      <c r="U380" s="923">
        <v>212.78</v>
      </c>
      <c r="V380" s="8"/>
      <c r="W380" s="8"/>
      <c r="X380" s="8"/>
      <c r="Y380" s="8"/>
      <c r="Z380" s="8"/>
      <c r="AA380" s="8"/>
      <c r="AB380" s="8"/>
      <c r="AC380" s="8"/>
    </row>
    <row r="381" ht="13.5" customHeight="1" spans="1:29" x14ac:dyDescent="0.25">
      <c r="A381" s="9"/>
      <c r="B381" s="8"/>
      <c r="C381" s="922">
        <v>45614</v>
      </c>
      <c r="D381" s="923">
        <v>207.18</v>
      </c>
      <c r="E381" s="8"/>
      <c r="F381" s="8"/>
      <c r="G381" s="8"/>
      <c r="H381" s="8"/>
      <c r="I381" s="8"/>
      <c r="J381" s="8"/>
      <c r="K381" s="8"/>
      <c r="L381" s="8"/>
      <c r="M381" s="8"/>
      <c r="N381" s="8"/>
      <c r="O381" s="8"/>
      <c r="P381" s="8"/>
      <c r="T381" s="922">
        <v>45607</v>
      </c>
      <c r="U381" s="923">
        <v>215.87</v>
      </c>
      <c r="V381" s="8"/>
      <c r="W381" s="8"/>
      <c r="X381" s="8"/>
      <c r="Y381" s="8"/>
      <c r="Z381" s="8"/>
      <c r="AA381" s="8"/>
      <c r="AB381" s="8"/>
      <c r="AC381" s="8"/>
    </row>
    <row r="382" ht="13.5" customHeight="1" spans="1:29" x14ac:dyDescent="0.25">
      <c r="A382" s="9"/>
      <c r="B382" s="8"/>
      <c r="C382" s="922">
        <v>45611</v>
      </c>
      <c r="D382" s="923">
        <v>201.12</v>
      </c>
      <c r="E382" s="8"/>
      <c r="F382" s="8"/>
      <c r="G382" s="8"/>
      <c r="H382" s="8"/>
      <c r="I382" s="8"/>
      <c r="J382" s="8"/>
      <c r="K382" s="8"/>
      <c r="L382" s="8"/>
      <c r="M382" s="8"/>
      <c r="N382" s="8"/>
      <c r="O382" s="8"/>
      <c r="P382" s="8"/>
      <c r="T382" s="922">
        <v>45604</v>
      </c>
      <c r="U382" s="923">
        <v>220.29</v>
      </c>
      <c r="V382" s="8"/>
      <c r="W382" s="8"/>
      <c r="X382" s="8"/>
      <c r="Y382" s="8"/>
      <c r="Z382" s="8"/>
      <c r="AA382" s="8"/>
      <c r="AB382" s="8"/>
      <c r="AC382" s="8"/>
    </row>
    <row r="383" ht="13.5" customHeight="1" spans="1:29" x14ac:dyDescent="0.25">
      <c r="A383" s="9"/>
      <c r="B383" s="8"/>
      <c r="C383" s="922">
        <v>45609</v>
      </c>
      <c r="D383" s="923">
        <v>205.72</v>
      </c>
      <c r="E383" s="8"/>
      <c r="F383" s="8"/>
      <c r="G383" s="8"/>
      <c r="H383" s="8"/>
      <c r="I383" s="8"/>
      <c r="J383" s="8"/>
      <c r="K383" s="8"/>
      <c r="L383" s="8"/>
      <c r="M383" s="8"/>
      <c r="N383" s="8"/>
      <c r="O383" s="8"/>
      <c r="P383" s="8"/>
      <c r="T383" s="922">
        <v>45603</v>
      </c>
      <c r="U383" s="923">
        <v>217.54</v>
      </c>
      <c r="V383" s="8"/>
      <c r="W383" s="8"/>
      <c r="X383" s="8"/>
      <c r="Y383" s="8"/>
      <c r="Z383" s="8"/>
      <c r="AA383" s="8"/>
      <c r="AB383" s="8"/>
      <c r="AC383" s="8"/>
    </row>
    <row r="384" ht="13.5" customHeight="1" spans="1:29" x14ac:dyDescent="0.25">
      <c r="A384" s="9"/>
      <c r="B384" s="8"/>
      <c r="C384" s="922">
        <v>45608</v>
      </c>
      <c r="D384" s="923">
        <v>212.78</v>
      </c>
      <c r="E384" s="8"/>
      <c r="F384" s="8"/>
      <c r="G384" s="8"/>
      <c r="H384" s="8"/>
      <c r="I384" s="8"/>
      <c r="J384" s="8"/>
      <c r="K384" s="8"/>
      <c r="L384" s="8"/>
      <c r="M384" s="8"/>
      <c r="N384" s="8"/>
      <c r="O384" s="8"/>
      <c r="P384" s="8"/>
      <c r="T384" s="922">
        <v>45601</v>
      </c>
      <c r="U384" s="923">
        <v>202.46</v>
      </c>
      <c r="V384" s="8"/>
      <c r="W384" s="8"/>
      <c r="X384" s="8"/>
      <c r="Y384" s="8"/>
      <c r="Z384" s="8"/>
      <c r="AA384" s="8"/>
      <c r="AB384" s="8"/>
      <c r="AC384" s="8"/>
    </row>
    <row r="385" ht="13.5" customHeight="1" spans="1:29" x14ac:dyDescent="0.25">
      <c r="A385" s="9"/>
      <c r="B385" s="8"/>
      <c r="C385" s="922">
        <v>45607</v>
      </c>
      <c r="D385" s="923">
        <v>215.87</v>
      </c>
      <c r="E385" s="8"/>
      <c r="F385" s="8"/>
      <c r="G385" s="8"/>
      <c r="H385" s="8"/>
      <c r="I385" s="8"/>
      <c r="J385" s="8"/>
      <c r="K385" s="8"/>
      <c r="L385" s="8"/>
      <c r="M385" s="8"/>
      <c r="N385" s="8"/>
      <c r="O385" s="8"/>
      <c r="P385" s="8"/>
      <c r="T385" s="922">
        <v>45600</v>
      </c>
      <c r="U385" s="923">
        <v>203.66</v>
      </c>
      <c r="V385" s="8"/>
      <c r="W385" s="8"/>
      <c r="X385" s="8"/>
      <c r="Y385" s="8"/>
      <c r="Z385" s="8"/>
      <c r="AA385" s="8"/>
      <c r="AB385" s="8"/>
      <c r="AC385" s="8"/>
    </row>
    <row r="386" ht="13.5" customHeight="1" spans="1:29" x14ac:dyDescent="0.25">
      <c r="A386" s="9"/>
      <c r="B386" s="8"/>
      <c r="C386" s="922">
        <v>45604</v>
      </c>
      <c r="D386" s="923">
        <v>220.29</v>
      </c>
      <c r="E386" s="8"/>
      <c r="F386" s="8"/>
      <c r="G386" s="8"/>
      <c r="H386" s="8"/>
      <c r="I386" s="8"/>
      <c r="J386" s="8"/>
      <c r="K386" s="8"/>
      <c r="L386" s="8"/>
      <c r="M386" s="8"/>
      <c r="N386" s="8"/>
      <c r="O386" s="8"/>
      <c r="P386" s="8"/>
      <c r="T386" s="922">
        <v>45597</v>
      </c>
      <c r="U386" s="923">
        <v>204.92</v>
      </c>
      <c r="V386" s="8"/>
      <c r="W386" s="8"/>
      <c r="X386" s="8"/>
      <c r="Y386" s="8"/>
      <c r="Z386" s="8"/>
      <c r="AA386" s="8"/>
      <c r="AB386" s="8"/>
      <c r="AC386" s="8"/>
    </row>
    <row r="387" ht="13.5" customHeight="1" spans="1:29" x14ac:dyDescent="0.25">
      <c r="A387" s="9"/>
      <c r="B387" s="8"/>
      <c r="C387" s="922">
        <v>45603</v>
      </c>
      <c r="D387" s="923">
        <v>217.54</v>
      </c>
      <c r="E387" s="8"/>
      <c r="F387" s="8"/>
      <c r="G387" s="8"/>
      <c r="H387" s="8"/>
      <c r="I387" s="8"/>
      <c r="J387" s="8"/>
      <c r="K387" s="8"/>
      <c r="L387" s="8"/>
      <c r="M387" s="8"/>
      <c r="N387" s="8"/>
      <c r="O387" s="8"/>
      <c r="P387" s="8"/>
      <c r="T387" s="922">
        <v>45596</v>
      </c>
      <c r="U387" s="923">
        <v>203.16</v>
      </c>
      <c r="V387" s="8"/>
      <c r="W387" s="8"/>
      <c r="X387" s="8"/>
      <c r="Y387" s="8"/>
      <c r="Z387" s="8"/>
      <c r="AA387" s="8"/>
      <c r="AB387" s="8"/>
      <c r="AC387" s="8"/>
    </row>
    <row r="388" ht="13.5" customHeight="1" spans="1:29" x14ac:dyDescent="0.25">
      <c r="A388" s="9"/>
      <c r="B388" s="8"/>
      <c r="C388" s="922">
        <v>45601</v>
      </c>
      <c r="D388" s="923">
        <v>202.46</v>
      </c>
      <c r="E388" s="8"/>
      <c r="F388" s="8"/>
      <c r="G388" s="8"/>
      <c r="H388" s="8"/>
      <c r="I388" s="8"/>
      <c r="J388" s="8"/>
      <c r="K388" s="8"/>
      <c r="L388" s="8"/>
      <c r="M388" s="8"/>
      <c r="N388" s="8"/>
      <c r="O388" s="8"/>
      <c r="P388" s="8"/>
      <c r="T388" s="922">
        <v>45595</v>
      </c>
      <c r="U388">
        <v>207.93</v>
      </c>
      <c r="V388" s="8"/>
      <c r="W388" s="8"/>
      <c r="X388" s="8"/>
      <c r="Y388" s="8"/>
      <c r="Z388" s="8"/>
      <c r="AA388" s="8"/>
      <c r="AB388" s="8"/>
      <c r="AC388" s="8"/>
    </row>
    <row r="389" ht="13.5" customHeight="1" spans="1:29" x14ac:dyDescent="0.25">
      <c r="A389" s="9"/>
      <c r="B389" s="8"/>
      <c r="C389" s="922">
        <v>45600</v>
      </c>
      <c r="D389" s="923">
        <v>203.66</v>
      </c>
      <c r="E389" s="8"/>
      <c r="F389" s="8"/>
      <c r="G389" s="8"/>
      <c r="H389" s="8"/>
      <c r="I389" s="8"/>
      <c r="J389" s="8"/>
      <c r="K389" s="8"/>
      <c r="L389" s="8"/>
      <c r="M389" s="8"/>
      <c r="N389" s="8"/>
      <c r="O389" s="8"/>
      <c r="P389" s="8"/>
      <c r="T389" s="922">
        <v>45596</v>
      </c>
      <c r="U389">
        <v>205.83</v>
      </c>
      <c r="V389" s="8"/>
      <c r="W389" s="8"/>
      <c r="X389" s="8"/>
      <c r="Y389" s="8"/>
      <c r="Z389" s="8"/>
      <c r="AA389" s="8"/>
      <c r="AB389" s="8"/>
      <c r="AC389" s="8"/>
    </row>
    <row r="390" ht="13.5" customHeight="1" spans="1:29" x14ac:dyDescent="0.25">
      <c r="A390" s="9"/>
      <c r="B390" s="8"/>
      <c r="C390" s="922">
        <v>45597</v>
      </c>
      <c r="D390" s="923">
        <v>204.92</v>
      </c>
      <c r="E390" s="8"/>
      <c r="F390" s="8"/>
      <c r="G390" s="8"/>
      <c r="H390" s="8"/>
      <c r="I390" s="8"/>
      <c r="J390" s="8"/>
      <c r="K390" s="8"/>
      <c r="L390" s="8"/>
      <c r="M390" s="8"/>
      <c r="N390" s="8"/>
      <c r="O390" s="8"/>
      <c r="P390" s="8"/>
      <c r="T390" s="922">
        <v>45596</v>
      </c>
      <c r="U390">
        <v>206.93</v>
      </c>
      <c r="V390" s="8"/>
      <c r="W390" s="8"/>
      <c r="X390" s="8"/>
      <c r="Y390" s="8"/>
      <c r="Z390" s="8"/>
      <c r="AA390" s="8"/>
      <c r="AB390" s="8"/>
      <c r="AC390" s="8"/>
    </row>
    <row r="391" ht="13.5" customHeight="1" spans="1:29" x14ac:dyDescent="0.25">
      <c r="A391" s="9"/>
      <c r="B391" s="8"/>
      <c r="C391" s="922">
        <v>45596</v>
      </c>
      <c r="D391" s="923">
        <v>203.16</v>
      </c>
      <c r="E391" s="8"/>
      <c r="F391" s="8"/>
      <c r="G391" s="8"/>
      <c r="H391" s="8"/>
      <c r="I391" s="8"/>
      <c r="J391" s="8"/>
      <c r="K391" s="8"/>
      <c r="L391" s="8"/>
      <c r="M391" s="8"/>
      <c r="N391" s="8"/>
      <c r="O391" s="8"/>
      <c r="P391" s="8"/>
      <c r="T391" s="922">
        <v>45589</v>
      </c>
      <c r="U391" s="923">
        <v>206.61</v>
      </c>
      <c r="V391" s="8"/>
      <c r="W391" s="8"/>
      <c r="X391" s="8"/>
      <c r="Y391" s="8"/>
      <c r="Z391" s="8"/>
      <c r="AA391" s="8"/>
      <c r="AB391" s="8"/>
      <c r="AC391" s="8"/>
    </row>
    <row r="392" ht="13.5" customHeight="1" spans="1:29" x14ac:dyDescent="0.25">
      <c r="A392" s="9"/>
      <c r="B392" s="8"/>
      <c r="C392" s="922">
        <v>45595</v>
      </c>
      <c r="D392">
        <v>207.93</v>
      </c>
      <c r="E392" s="8"/>
      <c r="F392" s="8"/>
      <c r="G392" s="8"/>
      <c r="H392" s="8"/>
      <c r="I392" s="8"/>
      <c r="J392" s="8"/>
      <c r="K392" s="8"/>
      <c r="L392" s="8"/>
      <c r="M392" s="8"/>
      <c r="N392" s="8"/>
      <c r="O392" s="8"/>
      <c r="P392" s="8"/>
      <c r="T392" s="922">
        <v>45588</v>
      </c>
      <c r="U392" s="923">
        <v>201.74</v>
      </c>
      <c r="V392" s="8"/>
      <c r="W392" s="8"/>
      <c r="X392" s="8"/>
      <c r="Y392" s="8"/>
      <c r="Z392" s="8"/>
      <c r="AA392" s="8"/>
      <c r="AB392" s="8"/>
      <c r="AC392" s="8"/>
    </row>
    <row r="393" ht="13.5" customHeight="1" spans="1:29" x14ac:dyDescent="0.25">
      <c r="A393" s="9"/>
      <c r="B393" s="8"/>
      <c r="C393" s="922">
        <v>45596</v>
      </c>
      <c r="D393">
        <v>205.83</v>
      </c>
      <c r="E393" s="8"/>
      <c r="F393" s="8"/>
      <c r="G393" s="8"/>
      <c r="H393" s="8"/>
      <c r="I393" s="8"/>
      <c r="J393" s="8"/>
      <c r="K393" s="8"/>
      <c r="L393" s="8"/>
      <c r="M393" s="8"/>
      <c r="N393" s="8"/>
      <c r="O393" s="8"/>
      <c r="P393" s="8"/>
      <c r="T393" s="922">
        <v>45586</v>
      </c>
      <c r="U393" s="923">
        <v>195.77</v>
      </c>
      <c r="V393" s="8"/>
      <c r="W393" s="8"/>
      <c r="X393" s="8"/>
      <c r="Y393" s="8"/>
      <c r="Z393" s="8"/>
      <c r="AA393" s="8"/>
      <c r="AB393" s="8"/>
      <c r="AC393" s="8"/>
    </row>
    <row r="394" ht="13.5" customHeight="1" spans="1:29" x14ac:dyDescent="0.25">
      <c r="A394" s="9"/>
      <c r="B394" s="8"/>
      <c r="C394" s="922">
        <v>45596</v>
      </c>
      <c r="D394">
        <v>206.93</v>
      </c>
      <c r="E394" s="8"/>
      <c r="F394" s="8"/>
      <c r="G394" s="8"/>
      <c r="H394" s="8"/>
      <c r="I394" s="8"/>
      <c r="J394" s="8"/>
      <c r="K394" s="8"/>
      <c r="L394" s="8"/>
      <c r="M394" s="8"/>
      <c r="N394" s="8"/>
      <c r="O394" s="8"/>
      <c r="P394" s="8"/>
      <c r="T394" s="922">
        <v>45583</v>
      </c>
      <c r="U394" s="923">
        <v>198.47</v>
      </c>
      <c r="V394" s="8"/>
      <c r="W394" s="8"/>
      <c r="X394" s="8"/>
      <c r="Y394" s="8"/>
      <c r="Z394" s="8"/>
      <c r="AA394" s="8"/>
      <c r="AB394" s="8"/>
      <c r="AC394" s="8"/>
    </row>
    <row r="395" ht="13.5" customHeight="1" spans="1:29" x14ac:dyDescent="0.25">
      <c r="A395" s="9"/>
      <c r="B395" s="8"/>
      <c r="C395" s="922">
        <v>45589</v>
      </c>
      <c r="D395" s="923">
        <v>206.61</v>
      </c>
      <c r="E395" s="8"/>
      <c r="F395" s="8"/>
      <c r="G395" s="8"/>
      <c r="H395" s="8"/>
      <c r="I395" s="8"/>
      <c r="J395" s="8"/>
      <c r="K395" s="8"/>
      <c r="L395" s="8"/>
      <c r="M395" s="8"/>
      <c r="N395" s="8"/>
      <c r="O395" s="8"/>
      <c r="P395" s="8"/>
      <c r="T395" s="922">
        <v>45582</v>
      </c>
      <c r="U395" s="923">
        <v>198.3</v>
      </c>
      <c r="V395" s="8"/>
      <c r="W395" s="8"/>
      <c r="X395" s="8"/>
      <c r="Y395" s="8"/>
      <c r="Z395" s="8"/>
      <c r="AA395" s="8"/>
      <c r="AB395" s="8"/>
      <c r="AC395" s="8"/>
    </row>
    <row r="396" ht="13.5" customHeight="1" spans="1:29" x14ac:dyDescent="0.25">
      <c r="A396" s="9"/>
      <c r="B396" s="8"/>
      <c r="C396" s="922">
        <v>45588</v>
      </c>
      <c r="D396" s="923">
        <v>201.74</v>
      </c>
      <c r="E396" s="8"/>
      <c r="F396" s="8"/>
      <c r="G396" s="8"/>
      <c r="H396" s="8"/>
      <c r="I396" s="8"/>
      <c r="J396" s="8"/>
      <c r="K396" s="8"/>
      <c r="L396" s="8"/>
      <c r="M396" s="8"/>
      <c r="N396" s="8"/>
      <c r="O396" s="8"/>
      <c r="P396" s="8"/>
      <c r="T396" s="922">
        <v>45581</v>
      </c>
      <c r="U396" s="923">
        <v>200.69</v>
      </c>
      <c r="V396" s="8"/>
      <c r="W396" s="8"/>
      <c r="X396" s="8"/>
      <c r="Y396" s="8"/>
      <c r="Z396" s="8"/>
      <c r="AA396" s="8"/>
      <c r="AB396" s="8"/>
      <c r="AC396" s="8"/>
    </row>
    <row r="397" ht="13.5" customHeight="1" spans="1:29" x14ac:dyDescent="0.25">
      <c r="A397" s="9"/>
      <c r="B397" s="8"/>
      <c r="C397" s="922">
        <v>45586</v>
      </c>
      <c r="D397" s="923">
        <v>195.77</v>
      </c>
      <c r="E397" s="8"/>
      <c r="F397" s="8"/>
      <c r="G397" s="8"/>
      <c r="H397" s="8"/>
      <c r="I397" s="8"/>
      <c r="J397" s="8"/>
      <c r="K397" s="8"/>
      <c r="L397" s="8"/>
      <c r="M397" s="8"/>
      <c r="N397" s="8"/>
      <c r="O397" s="8"/>
      <c r="P397" s="8"/>
      <c r="T397" s="922">
        <v>45580</v>
      </c>
      <c r="U397" s="923">
        <v>199.84</v>
      </c>
      <c r="V397" s="8"/>
      <c r="W397" s="8"/>
      <c r="X397" s="8"/>
      <c r="Y397" s="8"/>
      <c r="Z397" s="8"/>
      <c r="AA397" s="8"/>
      <c r="AB397" s="8"/>
      <c r="AC397" s="8"/>
    </row>
    <row r="398" ht="13.5" customHeight="1" spans="1:29" x14ac:dyDescent="0.25">
      <c r="A398" s="9"/>
      <c r="B398" s="8"/>
      <c r="C398" s="922">
        <v>45583</v>
      </c>
      <c r="D398" s="923">
        <v>198.47</v>
      </c>
      <c r="E398" s="8"/>
      <c r="F398" s="8"/>
      <c r="G398" s="8"/>
      <c r="H398" s="8"/>
      <c r="I398" s="8"/>
      <c r="J398" s="8"/>
      <c r="K398" s="8"/>
      <c r="L398" s="8"/>
      <c r="M398" s="8"/>
      <c r="N398" s="8"/>
      <c r="O398" s="8"/>
      <c r="P398" s="8"/>
      <c r="T398" s="922">
        <v>45576</v>
      </c>
      <c r="U398" s="923">
        <v>205.11</v>
      </c>
      <c r="V398" s="8"/>
      <c r="W398" s="8"/>
      <c r="X398" s="8"/>
      <c r="Y398" s="8"/>
      <c r="Z398" s="8"/>
      <c r="AA398" s="8"/>
      <c r="AB398" s="8"/>
      <c r="AC398" s="8"/>
    </row>
    <row r="399" ht="13.5" customHeight="1" spans="1:29" x14ac:dyDescent="0.25">
      <c r="A399" s="9"/>
      <c r="B399" s="8"/>
      <c r="C399" s="922">
        <v>45582</v>
      </c>
      <c r="D399" s="923">
        <v>198.3</v>
      </c>
      <c r="E399" s="8"/>
      <c r="F399" s="8"/>
      <c r="G399" s="8"/>
      <c r="H399" s="8"/>
      <c r="I399" s="8"/>
      <c r="J399" s="8"/>
      <c r="K399" s="8"/>
      <c r="L399" s="8"/>
      <c r="M399" s="8"/>
      <c r="N399" s="8"/>
      <c r="O399" s="8"/>
      <c r="P399" s="8"/>
      <c r="T399" s="922">
        <v>45575</v>
      </c>
      <c r="U399" s="923">
        <v>202.47</v>
      </c>
      <c r="V399" s="8"/>
      <c r="W399" s="8"/>
      <c r="X399" s="8"/>
      <c r="Y399" s="8"/>
      <c r="Z399" s="8"/>
      <c r="AA399" s="8"/>
      <c r="AB399" s="8"/>
      <c r="AC399" s="8"/>
    </row>
    <row r="400" ht="13.5" customHeight="1" spans="1:29" x14ac:dyDescent="0.25">
      <c r="A400" s="9"/>
      <c r="B400" s="8"/>
      <c r="C400" s="922">
        <v>45581</v>
      </c>
      <c r="D400" s="923">
        <v>200.69</v>
      </c>
      <c r="E400" s="8"/>
      <c r="F400" s="8"/>
      <c r="G400" s="8"/>
      <c r="H400" s="8"/>
      <c r="I400" s="8"/>
      <c r="J400" s="8"/>
      <c r="K400" s="8"/>
      <c r="L400" s="8"/>
      <c r="M400" s="8"/>
      <c r="N400" s="8"/>
      <c r="O400" s="8"/>
      <c r="P400" s="8"/>
      <c r="T400" s="922">
        <v>45574</v>
      </c>
      <c r="U400" s="923">
        <v>204.97</v>
      </c>
      <c r="V400" s="8"/>
      <c r="W400" s="8"/>
      <c r="X400" s="8"/>
      <c r="Y400" s="8"/>
      <c r="Z400" s="8"/>
      <c r="AA400" s="8"/>
      <c r="AB400" s="8"/>
      <c r="AC400" s="8"/>
    </row>
    <row r="401" ht="13.5" customHeight="1" spans="1:29" x14ac:dyDescent="0.25">
      <c r="A401" s="9"/>
      <c r="B401" s="8"/>
      <c r="C401" s="922">
        <v>45580</v>
      </c>
      <c r="D401" s="923">
        <v>199.84</v>
      </c>
      <c r="E401" s="8"/>
      <c r="F401" s="8"/>
      <c r="G401" s="8"/>
      <c r="H401" s="8"/>
      <c r="I401" s="8"/>
      <c r="J401" s="8"/>
      <c r="K401" s="8"/>
      <c r="L401" s="8"/>
      <c r="M401" s="8"/>
      <c r="N401" s="8"/>
      <c r="O401" s="8"/>
      <c r="P401" s="8"/>
      <c r="T401" s="922">
        <v>45573</v>
      </c>
      <c r="U401" s="923">
        <v>202.21</v>
      </c>
      <c r="V401" s="8"/>
      <c r="W401" s="8"/>
      <c r="X401" s="8"/>
      <c r="Y401" s="8"/>
      <c r="Z401" s="8"/>
      <c r="AA401" s="8"/>
      <c r="AB401" s="8"/>
      <c r="AC401" s="8"/>
    </row>
    <row r="402" ht="13.5" customHeight="1" spans="1:29" x14ac:dyDescent="0.25">
      <c r="A402" s="9"/>
      <c r="B402" s="8"/>
      <c r="C402" s="922">
        <v>45576</v>
      </c>
      <c r="D402" s="923">
        <v>205.11</v>
      </c>
      <c r="E402" s="8"/>
      <c r="F402" s="8"/>
      <c r="G402" s="8"/>
      <c r="H402" s="8"/>
      <c r="I402" s="8"/>
      <c r="J402" s="8"/>
      <c r="K402" s="8"/>
      <c r="L402" s="8"/>
      <c r="M402" s="8"/>
      <c r="N402" s="8"/>
      <c r="O402" s="8"/>
      <c r="P402" s="8"/>
      <c r="T402" s="922">
        <v>45572</v>
      </c>
      <c r="U402" s="923">
        <v>201.27</v>
      </c>
      <c r="V402" s="8"/>
      <c r="W402" s="8"/>
      <c r="X402" s="8"/>
      <c r="Y402" s="8"/>
      <c r="Z402" s="8"/>
      <c r="AA402" s="8"/>
      <c r="AB402" s="8"/>
      <c r="AC402" s="8"/>
    </row>
    <row r="403" ht="13.5" customHeight="1" spans="1:29" x14ac:dyDescent="0.25">
      <c r="A403" s="9"/>
      <c r="B403" s="8"/>
      <c r="C403" s="922">
        <v>45575</v>
      </c>
      <c r="D403" s="923">
        <v>202.47</v>
      </c>
      <c r="E403" s="8"/>
      <c r="F403" s="8"/>
      <c r="G403" s="8"/>
      <c r="H403" s="8"/>
      <c r="I403" s="8"/>
      <c r="J403" s="8"/>
      <c r="K403" s="8"/>
      <c r="L403" s="8"/>
      <c r="M403" s="8"/>
      <c r="N403" s="8"/>
      <c r="O403" s="8"/>
      <c r="P403" s="8"/>
      <c r="T403" s="8"/>
      <c r="U403" s="8"/>
      <c r="V403" s="8"/>
      <c r="W403" s="8"/>
      <c r="X403" s="8"/>
      <c r="Y403" s="8"/>
      <c r="Z403" s="8"/>
      <c r="AA403" s="8"/>
      <c r="AB403" s="8"/>
      <c r="AC403" s="8"/>
    </row>
    <row r="404" ht="13.5" customHeight="1" spans="1:29" x14ac:dyDescent="0.25">
      <c r="A404" s="9"/>
      <c r="B404" s="8"/>
      <c r="C404" s="922">
        <v>45574</v>
      </c>
      <c r="D404" s="923">
        <v>204.97</v>
      </c>
      <c r="E404" s="8"/>
      <c r="F404" s="8"/>
      <c r="G404" s="8"/>
      <c r="H404" s="8"/>
      <c r="I404" s="8"/>
      <c r="J404" s="8"/>
      <c r="K404" s="8"/>
      <c r="L404" s="8"/>
      <c r="M404" s="8"/>
      <c r="N404" s="8"/>
      <c r="O404" s="8"/>
      <c r="P404" s="8"/>
      <c r="T404" s="8"/>
      <c r="U404" s="8"/>
      <c r="V404" s="8"/>
      <c r="W404" s="8"/>
      <c r="X404" s="8"/>
      <c r="Y404" s="8"/>
      <c r="Z404" s="8"/>
      <c r="AA404" s="8"/>
      <c r="AB404" s="8"/>
      <c r="AC404" s="8"/>
    </row>
    <row r="405" ht="13.5" customHeight="1" spans="1:29" x14ac:dyDescent="0.25">
      <c r="A405" s="9"/>
      <c r="B405" s="8"/>
      <c r="C405" s="922">
        <v>45573</v>
      </c>
      <c r="D405" s="923">
        <v>202.21</v>
      </c>
      <c r="E405" s="8"/>
      <c r="F405" s="8"/>
      <c r="G405" s="8"/>
      <c r="H405" s="8"/>
      <c r="I405" s="8"/>
      <c r="J405" s="8"/>
      <c r="K405" s="8"/>
      <c r="L405" s="8"/>
      <c r="M405" s="8"/>
      <c r="N405" s="8"/>
      <c r="O405" s="8"/>
      <c r="P405" s="8"/>
      <c r="T405" s="8"/>
      <c r="U405" s="8"/>
      <c r="V405" s="8"/>
      <c r="W405" s="8"/>
      <c r="X405" s="8"/>
      <c r="Y405" s="8"/>
      <c r="Z405" s="8"/>
      <c r="AA405" s="8"/>
      <c r="AB405" s="8"/>
      <c r="AC405" s="8"/>
    </row>
    <row r="406" ht="13.5" customHeight="1" spans="1:29" x14ac:dyDescent="0.25">
      <c r="A406" s="9"/>
      <c r="B406" s="8"/>
      <c r="C406" s="922">
        <v>45572</v>
      </c>
      <c r="D406" s="923">
        <v>201.27</v>
      </c>
      <c r="E406" s="8"/>
      <c r="F406" s="8"/>
      <c r="G406" s="8"/>
      <c r="H406" s="8"/>
      <c r="I406" s="8"/>
      <c r="J406" s="8"/>
      <c r="K406" s="8"/>
      <c r="L406" s="8"/>
      <c r="M406" s="8"/>
      <c r="N406" s="8"/>
      <c r="O406" s="8"/>
      <c r="P406" s="8"/>
      <c r="T406" s="8"/>
      <c r="U406" s="8"/>
      <c r="V406" s="8"/>
      <c r="W406" s="8"/>
      <c r="X406" s="8"/>
      <c r="Y406" s="8"/>
      <c r="Z406" s="8"/>
      <c r="AA406" s="8"/>
      <c r="AB406" s="8"/>
      <c r="AC406" s="8"/>
    </row>
    <row r="407" ht="13.5" customHeight="1" spans="1:29" x14ac:dyDescent="0.25">
      <c r="A407" s="9"/>
      <c r="B407" s="8"/>
      <c r="E407" s="8"/>
      <c r="F407" s="8"/>
      <c r="G407" s="8"/>
      <c r="H407" s="8"/>
      <c r="I407" s="8"/>
      <c r="J407" s="8"/>
      <c r="K407" s="8"/>
      <c r="L407" s="8"/>
      <c r="M407" s="8"/>
      <c r="N407" s="8"/>
      <c r="O407" s="8"/>
      <c r="P407" s="8"/>
      <c r="T407" s="8"/>
      <c r="U407" s="8"/>
      <c r="V407" s="8"/>
      <c r="W407" s="8"/>
      <c r="X407" s="8"/>
      <c r="Y407" s="8"/>
      <c r="Z407" s="8"/>
      <c r="AA407" s="8"/>
      <c r="AB407" s="8"/>
      <c r="AC407" s="8"/>
    </row>
    <row r="408" ht="13.5" customHeight="1" spans="1:29" x14ac:dyDescent="0.25">
      <c r="A408" s="9"/>
      <c r="B408" s="8"/>
      <c r="E408" s="8"/>
      <c r="F408" s="8"/>
      <c r="G408" s="8"/>
      <c r="H408" s="8"/>
      <c r="I408" s="8"/>
      <c r="J408" s="8"/>
      <c r="K408" s="8"/>
      <c r="L408" s="8"/>
      <c r="M408" s="8"/>
      <c r="N408" s="8"/>
      <c r="O408" s="8"/>
      <c r="P408" s="8"/>
      <c r="T408" s="8"/>
      <c r="U408" s="8"/>
      <c r="V408" s="8"/>
      <c r="W408" s="8"/>
      <c r="X408" s="8"/>
      <c r="Y408" s="8"/>
      <c r="Z408" s="8"/>
      <c r="AA408" s="8"/>
      <c r="AB408" s="8"/>
      <c r="AC408" s="8"/>
    </row>
    <row r="409" ht="13.5" customHeight="1" spans="1:29" x14ac:dyDescent="0.25">
      <c r="A409" s="9"/>
      <c r="B409" s="8"/>
      <c r="E409" s="8"/>
      <c r="F409" s="8"/>
      <c r="G409" s="8"/>
      <c r="H409" s="8"/>
      <c r="I409" s="8"/>
      <c r="J409" s="8"/>
      <c r="K409" s="8"/>
      <c r="L409" s="8"/>
      <c r="M409" s="8"/>
      <c r="N409" s="8"/>
      <c r="O409" s="8"/>
      <c r="P409" s="8"/>
      <c r="T409" s="8"/>
      <c r="U409" s="8"/>
      <c r="V409" s="8"/>
      <c r="W409" s="8"/>
      <c r="X409" s="8"/>
      <c r="Y409" s="8"/>
      <c r="Z409" s="8"/>
      <c r="AA409" s="8"/>
      <c r="AB409" s="8"/>
      <c r="AC409" s="8"/>
    </row>
    <row r="410" ht="13.5" customHeight="1" spans="1:29" x14ac:dyDescent="0.25">
      <c r="A410" s="9"/>
      <c r="B410" s="8"/>
      <c r="E410" s="8"/>
      <c r="F410" s="8"/>
      <c r="G410" s="8"/>
      <c r="H410" s="8"/>
      <c r="I410" s="8"/>
      <c r="J410" s="8"/>
      <c r="K410" s="8"/>
      <c r="L410" s="8"/>
      <c r="M410" s="8"/>
      <c r="N410" s="8"/>
      <c r="O410" s="8"/>
      <c r="P410" s="8"/>
      <c r="T410" s="8"/>
      <c r="U410" s="8"/>
      <c r="V410" s="8"/>
      <c r="W410" s="8"/>
      <c r="X410" s="8"/>
      <c r="Y410" s="8"/>
      <c r="Z410" s="8"/>
      <c r="AA410" s="8"/>
      <c r="AB410" s="8"/>
      <c r="AC410" s="8"/>
    </row>
    <row r="411" ht="13.5" customHeight="1" spans="1:29" x14ac:dyDescent="0.25">
      <c r="A411" s="9"/>
      <c r="B411" s="8"/>
      <c r="E411" s="8"/>
      <c r="F411" s="8"/>
      <c r="G411" s="8"/>
      <c r="H411" s="8"/>
      <c r="I411" s="8"/>
      <c r="J411" s="8"/>
      <c r="K411" s="8"/>
      <c r="L411" s="8"/>
      <c r="M411" s="8"/>
      <c r="N411" s="8"/>
      <c r="O411" s="8"/>
      <c r="P411" s="8"/>
      <c r="T411" s="8"/>
      <c r="U411" s="8"/>
      <c r="V411" s="8"/>
      <c r="W411" s="8"/>
      <c r="X411" s="8"/>
      <c r="Y411" s="8"/>
      <c r="Z411" s="8"/>
      <c r="AA411" s="8"/>
      <c r="AB411" s="8"/>
      <c r="AC411" s="8"/>
    </row>
    <row r="412" ht="13.5" customHeight="1" spans="1:29" x14ac:dyDescent="0.25">
      <c r="A412" s="9"/>
      <c r="B412" s="8"/>
      <c r="E412" s="8"/>
      <c r="F412" s="8"/>
      <c r="G412" s="8"/>
      <c r="H412" s="8"/>
      <c r="I412" s="8"/>
      <c r="J412" s="8"/>
      <c r="K412" s="8"/>
      <c r="L412" s="8"/>
      <c r="M412" s="8"/>
      <c r="N412" s="8"/>
      <c r="O412" s="8"/>
      <c r="P412" s="8"/>
      <c r="T412" s="8"/>
      <c r="U412" s="8"/>
      <c r="V412" s="8"/>
      <c r="W412" s="8"/>
      <c r="X412" s="8"/>
      <c r="Y412" s="8"/>
      <c r="Z412" s="8"/>
      <c r="AA412" s="8"/>
      <c r="AB412" s="8"/>
      <c r="AC412" s="8"/>
    </row>
    <row r="413" ht="13.5" customHeight="1" spans="1:29" x14ac:dyDescent="0.25">
      <c r="A413" s="9"/>
      <c r="B413" s="8"/>
      <c r="E413" s="8"/>
      <c r="F413" s="8"/>
      <c r="G413" s="8"/>
      <c r="H413" s="8"/>
      <c r="I413" s="8"/>
      <c r="J413" s="8"/>
      <c r="K413" s="8"/>
      <c r="L413" s="8"/>
      <c r="M413" s="8"/>
      <c r="N413" s="8"/>
      <c r="O413" s="8"/>
      <c r="P413" s="8"/>
      <c r="T413" s="8"/>
      <c r="U413" s="8"/>
      <c r="V413" s="8"/>
      <c r="W413" s="8"/>
      <c r="X413" s="8"/>
      <c r="Y413" s="8"/>
      <c r="Z413" s="8"/>
      <c r="AA413" s="8"/>
      <c r="AB413" s="8"/>
      <c r="AC413" s="8"/>
    </row>
    <row r="414" ht="13.5" customHeight="1" spans="1:29" x14ac:dyDescent="0.25">
      <c r="A414" s="9"/>
      <c r="B414" s="8"/>
      <c r="E414" s="8"/>
      <c r="F414" s="8"/>
      <c r="G414" s="8"/>
      <c r="H414" s="8"/>
      <c r="I414" s="8"/>
      <c r="J414" s="8"/>
      <c r="K414" s="8"/>
      <c r="L414" s="8"/>
      <c r="M414" s="8"/>
      <c r="N414" s="8"/>
      <c r="O414" s="8"/>
      <c r="P414" s="8"/>
      <c r="T414" s="8"/>
      <c r="U414" s="8"/>
      <c r="V414" s="8"/>
      <c r="W414" s="8"/>
      <c r="X414" s="8"/>
      <c r="Y414" s="8"/>
      <c r="Z414" s="8"/>
      <c r="AA414" s="8"/>
      <c r="AB414" s="8"/>
      <c r="AC414" s="8"/>
    </row>
    <row r="415" ht="13.5" customHeight="1" spans="1:29" x14ac:dyDescent="0.25">
      <c r="A415" s="9"/>
      <c r="B415" s="8"/>
      <c r="E415" s="8"/>
      <c r="F415" s="8"/>
      <c r="G415" s="8"/>
      <c r="H415" s="8"/>
      <c r="I415" s="8"/>
      <c r="J415" s="8"/>
      <c r="K415" s="8"/>
      <c r="L415" s="8"/>
      <c r="M415" s="8"/>
      <c r="N415" s="8"/>
      <c r="O415" s="8"/>
      <c r="P415" s="8"/>
      <c r="T415" s="8"/>
      <c r="U415" s="8"/>
      <c r="V415" s="8"/>
      <c r="W415" s="8"/>
      <c r="X415" s="8"/>
      <c r="Y415" s="8"/>
      <c r="Z415" s="8"/>
      <c r="AA415" s="8"/>
      <c r="AB415" s="8"/>
      <c r="AC415" s="8"/>
    </row>
    <row r="416" ht="13.5" customHeight="1" spans="1:29" x14ac:dyDescent="0.25">
      <c r="A416" s="9"/>
      <c r="B416" s="8"/>
      <c r="E416" s="8"/>
      <c r="F416" s="8"/>
      <c r="G416" s="8"/>
      <c r="H416" s="8"/>
      <c r="I416" s="8"/>
      <c r="J416" s="8"/>
      <c r="K416" s="8"/>
      <c r="L416" s="8"/>
      <c r="M416" s="8"/>
      <c r="N416" s="8"/>
      <c r="O416" s="8"/>
      <c r="P416" s="8"/>
      <c r="T416" s="8"/>
      <c r="U416" s="8"/>
      <c r="V416" s="8"/>
      <c r="W416" s="8"/>
      <c r="X416" s="8"/>
      <c r="Y416" s="8"/>
      <c r="Z416" s="8"/>
      <c r="AA416" s="8"/>
      <c r="AB416" s="8"/>
      <c r="AC416" s="8"/>
    </row>
    <row r="417" ht="13.5" customHeight="1" spans="1:29" x14ac:dyDescent="0.25">
      <c r="A417" s="9"/>
      <c r="B417" s="8"/>
      <c r="E417" s="8"/>
      <c r="F417" s="8"/>
      <c r="G417" s="8"/>
      <c r="H417" s="8"/>
      <c r="I417" s="8"/>
      <c r="J417" s="8"/>
      <c r="K417" s="8"/>
      <c r="L417" s="8"/>
      <c r="M417" s="8"/>
      <c r="N417" s="8"/>
      <c r="O417" s="8"/>
      <c r="P417" s="8"/>
      <c r="T417" s="8"/>
      <c r="U417" s="8"/>
      <c r="V417" s="8"/>
      <c r="W417" s="8"/>
      <c r="X417" s="8"/>
      <c r="Y417" s="8"/>
      <c r="Z417" s="8"/>
      <c r="AA417" s="8"/>
      <c r="AB417" s="8"/>
      <c r="AC417" s="8"/>
    </row>
    <row r="418" ht="13.5" customHeight="1" spans="1:29" x14ac:dyDescent="0.25">
      <c r="A418" s="9"/>
      <c r="B418" s="8"/>
      <c r="E418" s="8"/>
      <c r="F418" s="8"/>
      <c r="G418" s="8"/>
      <c r="H418" s="8"/>
      <c r="I418" s="8"/>
      <c r="J418" s="8"/>
      <c r="K418" s="8"/>
      <c r="L418" s="8"/>
      <c r="M418" s="8"/>
      <c r="N418" s="8"/>
      <c r="O418" s="8"/>
      <c r="P418" s="8"/>
      <c r="T418" s="8"/>
      <c r="U418" s="8"/>
      <c r="V418" s="8"/>
      <c r="W418" s="8"/>
      <c r="X418" s="8"/>
      <c r="Y418" s="8"/>
      <c r="Z418" s="8"/>
      <c r="AA418" s="8"/>
      <c r="AB418" s="8"/>
      <c r="AC418" s="8"/>
    </row>
    <row r="419" ht="13.5" customHeight="1" spans="1:29" x14ac:dyDescent="0.25">
      <c r="A419" s="9"/>
      <c r="B419" s="8"/>
      <c r="E419" s="8"/>
      <c r="F419" s="8"/>
      <c r="G419" s="8"/>
      <c r="H419" s="8"/>
      <c r="I419" s="8"/>
      <c r="J419" s="8"/>
      <c r="K419" s="8"/>
      <c r="L419" s="8"/>
      <c r="M419" s="8"/>
      <c r="N419" s="8"/>
      <c r="O419" s="8"/>
      <c r="P419" s="8"/>
      <c r="T419" s="8"/>
      <c r="U419" s="8"/>
      <c r="V419" s="8"/>
      <c r="W419" s="8"/>
      <c r="X419" s="8"/>
      <c r="Y419" s="8"/>
      <c r="Z419" s="8"/>
      <c r="AA419" s="8"/>
      <c r="AB419" s="8"/>
      <c r="AC419" s="8"/>
    </row>
    <row r="420" ht="13.5" customHeight="1" spans="1:29" x14ac:dyDescent="0.25">
      <c r="A420" s="9"/>
      <c r="B420" s="8"/>
      <c r="E420" s="8"/>
      <c r="F420" s="8"/>
      <c r="G420" s="8"/>
      <c r="H420" s="8"/>
      <c r="I420" s="8"/>
      <c r="J420" s="8"/>
      <c r="K420" s="8"/>
      <c r="L420" s="8"/>
      <c r="M420" s="8"/>
      <c r="N420" s="8"/>
      <c r="O420" s="8"/>
      <c r="P420" s="8"/>
      <c r="T420" s="8"/>
      <c r="U420" s="8"/>
      <c r="V420" s="8"/>
      <c r="W420" s="8"/>
      <c r="X420" s="8"/>
      <c r="Y420" s="8"/>
      <c r="Z420" s="8"/>
      <c r="AA420" s="8"/>
      <c r="AB420" s="8"/>
      <c r="AC420" s="8"/>
    </row>
    <row r="421" ht="13.5" customHeight="1" spans="1:29" x14ac:dyDescent="0.25">
      <c r="A421" s="9"/>
      <c r="B421" s="8"/>
      <c r="E421" s="8"/>
      <c r="F421" s="8"/>
      <c r="G421" s="8"/>
      <c r="H421" s="8"/>
      <c r="I421" s="8"/>
      <c r="J421" s="8"/>
      <c r="K421" s="8"/>
      <c r="L421" s="8"/>
      <c r="M421" s="8"/>
      <c r="N421" s="8"/>
      <c r="O421" s="8"/>
      <c r="P421" s="8"/>
      <c r="T421" s="8"/>
      <c r="U421" s="8"/>
      <c r="V421" s="8"/>
      <c r="W421" s="8"/>
      <c r="X421" s="8"/>
      <c r="Y421" s="8"/>
      <c r="Z421" s="8"/>
      <c r="AA421" s="8"/>
      <c r="AB421" s="8"/>
      <c r="AC421" s="8"/>
    </row>
    <row r="422" ht="13.5" customHeight="1" spans="1:29" x14ac:dyDescent="0.25">
      <c r="A422" s="9"/>
      <c r="B422" s="8"/>
      <c r="E422" s="8"/>
      <c r="F422" s="8"/>
      <c r="G422" s="8"/>
      <c r="H422" s="8"/>
      <c r="I422" s="8"/>
      <c r="J422" s="8"/>
      <c r="K422" s="8"/>
      <c r="L422" s="8"/>
      <c r="M422" s="8"/>
      <c r="N422" s="8"/>
      <c r="O422" s="8"/>
      <c r="P422" s="8"/>
      <c r="T422" s="8"/>
      <c r="U422" s="8"/>
      <c r="V422" s="8"/>
      <c r="W422" s="8"/>
      <c r="X422" s="8"/>
      <c r="Y422" s="8"/>
      <c r="Z422" s="8"/>
      <c r="AA422" s="8"/>
      <c r="AB422" s="8"/>
      <c r="AC422" s="8"/>
    </row>
    <row r="423" ht="13.5" customHeight="1" spans="1:29" x14ac:dyDescent="0.25">
      <c r="A423" s="9"/>
      <c r="B423" s="8"/>
      <c r="E423" s="8"/>
      <c r="F423" s="8"/>
      <c r="G423" s="8"/>
      <c r="H423" s="8"/>
      <c r="I423" s="8"/>
      <c r="J423" s="8"/>
      <c r="K423" s="8"/>
      <c r="L423" s="8"/>
      <c r="M423" s="8"/>
      <c r="N423" s="8"/>
      <c r="O423" s="8"/>
      <c r="P423" s="8"/>
      <c r="T423" s="8"/>
      <c r="U423" s="8"/>
      <c r="V423" s="8"/>
      <c r="W423" s="8"/>
      <c r="X423" s="8"/>
      <c r="Y423" s="8"/>
      <c r="Z423" s="8"/>
      <c r="AA423" s="8"/>
      <c r="AB423" s="8"/>
      <c r="AC423" s="8"/>
    </row>
    <row r="424" ht="13.5" customHeight="1" spans="1:29" x14ac:dyDescent="0.25">
      <c r="A424" s="9"/>
      <c r="B424" s="8"/>
      <c r="E424" s="8"/>
      <c r="F424" s="8"/>
      <c r="G424" s="8"/>
      <c r="H424" s="8"/>
      <c r="I424" s="8"/>
      <c r="J424" s="8"/>
      <c r="K424" s="8"/>
      <c r="L424" s="8"/>
      <c r="M424" s="8"/>
      <c r="N424" s="8"/>
      <c r="O424" s="8"/>
      <c r="P424" s="8"/>
      <c r="T424" s="8"/>
      <c r="U424" s="8"/>
      <c r="V424" s="8"/>
      <c r="W424" s="8"/>
      <c r="X424" s="8"/>
      <c r="Y424" s="8"/>
      <c r="Z424" s="8"/>
      <c r="AA424" s="8"/>
      <c r="AB424" s="8"/>
      <c r="AC424" s="8"/>
    </row>
    <row r="425" ht="13.5" customHeight="1" spans="1:29" x14ac:dyDescent="0.25">
      <c r="A425" s="9"/>
      <c r="B425" s="8"/>
      <c r="E425" s="8"/>
      <c r="F425" s="8"/>
      <c r="G425" s="8"/>
      <c r="H425" s="8"/>
      <c r="I425" s="8"/>
      <c r="J425" s="8"/>
      <c r="K425" s="8"/>
      <c r="L425" s="8"/>
      <c r="M425" s="8"/>
      <c r="N425" s="8"/>
      <c r="O425" s="8"/>
      <c r="P425" s="8"/>
      <c r="T425" s="8"/>
      <c r="U425" s="8"/>
      <c r="V425" s="8"/>
      <c r="W425" s="8"/>
      <c r="X425" s="8"/>
      <c r="Y425" s="8"/>
      <c r="Z425" s="8"/>
      <c r="AA425" s="8"/>
      <c r="AB425" s="8"/>
      <c r="AC425" s="8"/>
    </row>
    <row r="426" ht="13.5" customHeight="1" spans="1:29" x14ac:dyDescent="0.25">
      <c r="A426" s="9"/>
      <c r="B426" s="8"/>
      <c r="E426" s="8"/>
      <c r="F426" s="8"/>
      <c r="G426" s="8"/>
      <c r="H426" s="8"/>
      <c r="I426" s="8"/>
      <c r="J426" s="8"/>
      <c r="K426" s="8"/>
      <c r="L426" s="8"/>
      <c r="M426" s="8"/>
      <c r="N426" s="8"/>
      <c r="O426" s="8"/>
      <c r="P426" s="8"/>
      <c r="T426" s="8"/>
      <c r="U426" s="8"/>
      <c r="V426" s="8"/>
      <c r="W426" s="8"/>
      <c r="X426" s="8"/>
      <c r="Y426" s="8"/>
      <c r="Z426" s="8"/>
      <c r="AA426" s="8"/>
      <c r="AB426" s="8"/>
      <c r="AC426" s="8"/>
    </row>
    <row r="427" ht="13.5" customHeight="1" spans="1:29" x14ac:dyDescent="0.25">
      <c r="A427" s="9"/>
      <c r="B427" s="8"/>
      <c r="E427" s="8"/>
      <c r="F427" s="8"/>
      <c r="G427" s="8"/>
      <c r="H427" s="8"/>
      <c r="I427" s="8"/>
      <c r="J427" s="8"/>
      <c r="K427" s="8"/>
      <c r="L427" s="8"/>
      <c r="M427" s="8"/>
      <c r="N427" s="8"/>
      <c r="O427" s="8"/>
      <c r="P427" s="8"/>
      <c r="T427" s="8"/>
      <c r="U427" s="8"/>
      <c r="V427" s="8"/>
      <c r="W427" s="8"/>
      <c r="X427" s="8"/>
      <c r="Y427" s="8"/>
      <c r="Z427" s="8"/>
      <c r="AA427" s="8"/>
      <c r="AB427" s="8"/>
      <c r="AC427" s="8"/>
    </row>
    <row r="428" ht="13.5" customHeight="1" spans="1:29" x14ac:dyDescent="0.25">
      <c r="A428" s="9"/>
      <c r="B428" s="8"/>
      <c r="E428" s="8"/>
      <c r="F428" s="8"/>
      <c r="G428" s="8"/>
      <c r="H428" s="8"/>
      <c r="I428" s="8"/>
      <c r="J428" s="8"/>
      <c r="K428" s="8"/>
      <c r="L428" s="8"/>
      <c r="M428" s="8"/>
      <c r="N428" s="8"/>
      <c r="O428" s="8"/>
      <c r="P428" s="8"/>
      <c r="T428" s="8"/>
      <c r="U428" s="8"/>
      <c r="V428" s="8"/>
      <c r="W428" s="8"/>
      <c r="X428" s="8"/>
      <c r="Y428" s="8"/>
      <c r="Z428" s="8"/>
      <c r="AA428" s="8"/>
      <c r="AB428" s="8"/>
      <c r="AC428" s="8"/>
    </row>
    <row r="429" ht="13.5" customHeight="1" spans="1:29" x14ac:dyDescent="0.25">
      <c r="A429" s="9"/>
      <c r="B429" s="8"/>
      <c r="E429" s="8"/>
      <c r="F429" s="8"/>
      <c r="G429" s="8"/>
      <c r="H429" s="8"/>
      <c r="I429" s="8"/>
      <c r="J429" s="8"/>
      <c r="K429" s="8"/>
      <c r="L429" s="8"/>
      <c r="M429" s="8"/>
      <c r="N429" s="8"/>
      <c r="O429" s="8"/>
      <c r="P429" s="8"/>
      <c r="T429" s="8"/>
      <c r="U429" s="8"/>
      <c r="V429" s="8"/>
      <c r="W429" s="8"/>
      <c r="X429" s="8"/>
      <c r="Y429" s="8"/>
      <c r="Z429" s="8"/>
      <c r="AA429" s="8"/>
      <c r="AB429" s="8"/>
      <c r="AC429" s="8"/>
    </row>
    <row r="430" ht="13.5" customHeight="1" spans="1:29" x14ac:dyDescent="0.25">
      <c r="A430" s="9"/>
      <c r="B430" s="8"/>
      <c r="E430" s="8"/>
      <c r="F430" s="8"/>
      <c r="G430" s="8"/>
      <c r="H430" s="8"/>
      <c r="I430" s="8"/>
      <c r="J430" s="8"/>
      <c r="K430" s="8"/>
      <c r="L430" s="8"/>
      <c r="M430" s="8"/>
      <c r="N430" s="8"/>
      <c r="O430" s="8"/>
      <c r="P430" s="8"/>
      <c r="T430" s="8"/>
      <c r="U430" s="8"/>
      <c r="V430" s="8"/>
      <c r="W430" s="8"/>
      <c r="X430" s="8"/>
      <c r="Y430" s="8"/>
      <c r="Z430" s="8"/>
      <c r="AA430" s="8"/>
      <c r="AB430" s="8"/>
      <c r="AC430" s="8"/>
    </row>
    <row r="431" ht="13.5" customHeight="1" spans="1:29" x14ac:dyDescent="0.25">
      <c r="A431" s="9"/>
      <c r="B431" s="8"/>
      <c r="E431" s="8"/>
      <c r="F431" s="8"/>
      <c r="G431" s="8"/>
      <c r="H431" s="8"/>
      <c r="I431" s="8"/>
      <c r="J431" s="8"/>
      <c r="K431" s="8"/>
      <c r="L431" s="8"/>
      <c r="M431" s="8"/>
      <c r="N431" s="8"/>
      <c r="O431" s="8"/>
      <c r="P431" s="8"/>
      <c r="T431" s="8"/>
      <c r="U431" s="8"/>
      <c r="V431" s="8"/>
      <c r="W431" s="8"/>
      <c r="X431" s="8"/>
      <c r="Y431" s="8"/>
      <c r="Z431" s="8"/>
      <c r="AA431" s="8"/>
      <c r="AB431" s="8"/>
      <c r="AC431" s="8"/>
    </row>
    <row r="432" ht="13.5" customHeight="1" spans="1:29" x14ac:dyDescent="0.25">
      <c r="A432" s="9"/>
      <c r="B432" s="8"/>
      <c r="E432" s="8"/>
      <c r="F432" s="8"/>
      <c r="G432" s="8"/>
      <c r="H432" s="8"/>
      <c r="I432" s="8"/>
      <c r="J432" s="8"/>
      <c r="K432" s="8"/>
      <c r="L432" s="8"/>
      <c r="M432" s="8"/>
      <c r="N432" s="8"/>
      <c r="O432" s="8"/>
      <c r="P432" s="8"/>
      <c r="T432" s="8"/>
      <c r="U432" s="8"/>
      <c r="V432" s="8"/>
      <c r="W432" s="8"/>
      <c r="X432" s="8"/>
      <c r="Y432" s="8"/>
      <c r="Z432" s="8"/>
      <c r="AA432" s="8"/>
      <c r="AB432" s="8"/>
      <c r="AC432" s="8"/>
    </row>
    <row r="433" ht="13.5" customHeight="1" spans="1:29" x14ac:dyDescent="0.25">
      <c r="A433" s="9"/>
      <c r="B433" s="8"/>
      <c r="E433" s="8"/>
      <c r="F433" s="8"/>
      <c r="G433" s="8"/>
      <c r="H433" s="8"/>
      <c r="I433" s="8"/>
      <c r="J433" s="8"/>
      <c r="K433" s="8"/>
      <c r="L433" s="8"/>
      <c r="M433" s="8"/>
      <c r="N433" s="8"/>
      <c r="O433" s="8"/>
      <c r="P433" s="8"/>
      <c r="T433" s="8"/>
      <c r="U433" s="8"/>
      <c r="V433" s="8"/>
      <c r="W433" s="8"/>
      <c r="X433" s="8"/>
      <c r="Y433" s="8"/>
      <c r="Z433" s="8"/>
      <c r="AA433" s="8"/>
      <c r="AB433" s="8"/>
      <c r="AC433" s="8"/>
    </row>
    <row r="434" ht="13.5" customHeight="1" spans="1:29" x14ac:dyDescent="0.25">
      <c r="A434" s="9"/>
      <c r="B434" s="8"/>
      <c r="E434" s="8"/>
      <c r="F434" s="8"/>
      <c r="G434" s="8"/>
      <c r="H434" s="8"/>
      <c r="I434" s="8"/>
      <c r="J434" s="8"/>
      <c r="K434" s="8"/>
      <c r="L434" s="8"/>
      <c r="M434" s="8"/>
      <c r="N434" s="8"/>
      <c r="O434" s="8"/>
      <c r="P434" s="8"/>
      <c r="T434" s="8"/>
      <c r="U434" s="8"/>
      <c r="V434" s="8"/>
      <c r="W434" s="8"/>
      <c r="X434" s="8"/>
      <c r="Y434" s="8"/>
      <c r="Z434" s="8"/>
      <c r="AA434" s="8"/>
      <c r="AB434" s="8"/>
      <c r="AC434" s="8"/>
    </row>
    <row r="435" ht="13.5" customHeight="1" spans="1:29" x14ac:dyDescent="0.25">
      <c r="A435" s="9"/>
      <c r="B435" s="8"/>
      <c r="E435" s="8"/>
      <c r="F435" s="8"/>
      <c r="G435" s="8"/>
      <c r="H435" s="8"/>
      <c r="I435" s="8"/>
      <c r="J435" s="8"/>
      <c r="K435" s="8"/>
      <c r="L435" s="8"/>
      <c r="M435" s="8"/>
      <c r="N435" s="8"/>
      <c r="O435" s="8"/>
      <c r="P435" s="8"/>
      <c r="T435" s="8"/>
      <c r="U435" s="8"/>
      <c r="V435" s="8"/>
      <c r="W435" s="8"/>
      <c r="X435" s="8"/>
      <c r="Y435" s="8"/>
      <c r="Z435" s="8"/>
      <c r="AA435" s="8"/>
      <c r="AB435" s="8"/>
      <c r="AC435" s="8"/>
    </row>
    <row r="436" ht="13.5" customHeight="1" spans="1:29" x14ac:dyDescent="0.25">
      <c r="A436" s="9"/>
      <c r="B436" s="8"/>
      <c r="E436" s="8"/>
      <c r="F436" s="8"/>
      <c r="G436" s="8"/>
      <c r="H436" s="8"/>
      <c r="I436" s="8"/>
      <c r="J436" s="8"/>
      <c r="K436" s="8"/>
      <c r="L436" s="8"/>
      <c r="M436" s="8"/>
      <c r="N436" s="8"/>
      <c r="O436" s="8"/>
      <c r="P436" s="8"/>
      <c r="T436" s="8"/>
      <c r="U436" s="8"/>
      <c r="V436" s="8"/>
      <c r="W436" s="8"/>
      <c r="X436" s="8"/>
      <c r="Y436" s="8"/>
      <c r="Z436" s="8"/>
      <c r="AA436" s="8"/>
      <c r="AB436" s="8"/>
      <c r="AC436" s="8"/>
    </row>
    <row r="437" ht="13.5" customHeight="1" spans="1:30" x14ac:dyDescent="0.25">
      <c r="A437" s="9"/>
      <c r="B437" s="8"/>
      <c r="E437" s="799"/>
      <c r="F437" s="8"/>
      <c r="G437" s="8"/>
      <c r="H437" s="8"/>
      <c r="I437" s="8"/>
      <c r="J437" s="8"/>
      <c r="K437" s="8"/>
      <c r="L437" s="8"/>
      <c r="M437" s="8"/>
      <c r="N437" s="8"/>
      <c r="O437" s="8"/>
      <c r="P437" s="8"/>
      <c r="T437" s="8"/>
      <c r="U437" s="8"/>
      <c r="V437" s="8"/>
      <c r="W437" s="8"/>
      <c r="X437" s="8"/>
      <c r="Y437" s="8"/>
      <c r="Z437" s="8"/>
      <c r="AA437" s="8"/>
      <c r="AB437" s="8"/>
      <c r="AC437" s="8"/>
      <c r="AD437" s="8"/>
    </row>
    <row r="438" ht="13.5" customHeight="1" spans="1:30" x14ac:dyDescent="0.25">
      <c r="A438" s="9"/>
      <c r="B438" s="8"/>
      <c r="E438" s="799"/>
      <c r="F438" s="8"/>
      <c r="G438" s="8"/>
      <c r="H438" s="8"/>
      <c r="I438" s="8"/>
      <c r="J438" s="8"/>
      <c r="K438" s="8"/>
      <c r="L438" s="8"/>
      <c r="M438" s="8"/>
      <c r="N438" s="8"/>
      <c r="O438" s="8"/>
      <c r="P438" s="8"/>
      <c r="T438" s="8"/>
      <c r="U438" s="8"/>
      <c r="V438" s="8"/>
      <c r="W438" s="8"/>
      <c r="X438" s="8"/>
      <c r="Y438" s="8"/>
      <c r="Z438" s="8"/>
      <c r="AA438" s="8"/>
      <c r="AB438" s="8"/>
      <c r="AC438" s="8"/>
      <c r="AD438" s="8"/>
    </row>
    <row r="439" ht="13.5" customHeight="1" spans="1:30" x14ac:dyDescent="0.25">
      <c r="A439" s="9"/>
      <c r="B439" s="8"/>
      <c r="E439" s="799"/>
      <c r="F439" s="8"/>
      <c r="G439" s="8"/>
      <c r="H439" s="8"/>
      <c r="I439" s="8"/>
      <c r="J439" s="8"/>
      <c r="K439" s="8"/>
      <c r="L439" s="8"/>
      <c r="M439" s="8"/>
      <c r="N439" s="8"/>
      <c r="O439" s="8"/>
      <c r="P439" s="8"/>
      <c r="T439" s="8"/>
      <c r="U439" s="8"/>
      <c r="V439" s="8"/>
      <c r="W439" s="8"/>
      <c r="X439" s="8"/>
      <c r="Y439" s="8"/>
      <c r="Z439" s="8"/>
      <c r="AA439" s="8"/>
      <c r="AB439" s="8"/>
      <c r="AC439" s="8"/>
      <c r="AD439" s="8"/>
    </row>
    <row r="440" ht="13.5" customHeight="1" spans="1:30" x14ac:dyDescent="0.25">
      <c r="A440" s="9"/>
      <c r="B440" s="8"/>
      <c r="E440" s="799"/>
      <c r="F440" s="8"/>
      <c r="G440" s="8"/>
      <c r="H440" s="8"/>
      <c r="I440" s="8"/>
      <c r="J440" s="8"/>
      <c r="K440" s="8"/>
      <c r="L440" s="8"/>
      <c r="M440" s="8"/>
      <c r="N440" s="8"/>
      <c r="O440" s="8"/>
      <c r="P440" s="8"/>
      <c r="T440" s="8"/>
      <c r="U440" s="8"/>
      <c r="V440" s="8"/>
      <c r="W440" s="8"/>
      <c r="X440" s="8"/>
      <c r="Y440" s="8"/>
      <c r="Z440" s="8"/>
      <c r="AA440" s="8"/>
      <c r="AB440" s="8"/>
      <c r="AC440" s="8"/>
      <c r="AD440" s="8"/>
    </row>
    <row r="441" ht="13.5" customHeight="1" spans="1:30" x14ac:dyDescent="0.25">
      <c r="A441" s="9"/>
      <c r="B441" s="8"/>
      <c r="E441" s="799"/>
      <c r="F441" s="8"/>
      <c r="G441" s="8"/>
      <c r="H441" s="8"/>
      <c r="I441" s="8"/>
      <c r="J441" s="8"/>
      <c r="K441" s="8"/>
      <c r="L441" s="8"/>
      <c r="M441" s="8"/>
      <c r="N441" s="8"/>
      <c r="O441" s="8"/>
      <c r="P441" s="8"/>
      <c r="T441" s="8"/>
      <c r="U441" s="8"/>
      <c r="V441" s="8"/>
      <c r="W441" s="8"/>
      <c r="X441" s="8"/>
      <c r="Y441" s="8"/>
      <c r="Z441" s="8"/>
      <c r="AA441" s="8"/>
      <c r="AB441" s="8"/>
      <c r="AC441" s="8"/>
      <c r="AD441" s="8"/>
    </row>
    <row r="442" ht="13.5" customHeight="1" spans="1:30" x14ac:dyDescent="0.25">
      <c r="A442" s="9"/>
      <c r="B442" s="8"/>
      <c r="E442" s="799"/>
      <c r="F442" s="8"/>
      <c r="G442" s="8"/>
      <c r="H442" s="8"/>
      <c r="I442" s="8"/>
      <c r="J442" s="8"/>
      <c r="K442" s="8"/>
      <c r="L442" s="8"/>
      <c r="M442" s="8"/>
      <c r="N442" s="8"/>
      <c r="O442" s="8"/>
      <c r="P442" s="8"/>
      <c r="T442" s="8"/>
      <c r="U442" s="8"/>
      <c r="V442" s="8"/>
      <c r="W442" s="8"/>
      <c r="X442" s="8"/>
      <c r="Y442" s="8"/>
      <c r="Z442" s="8"/>
      <c r="AA442" s="8"/>
      <c r="AB442" s="8"/>
      <c r="AC442" s="8"/>
      <c r="AD442" s="8"/>
    </row>
    <row r="443" ht="13.5" customHeight="1" spans="1:30" x14ac:dyDescent="0.25">
      <c r="A443" s="9"/>
      <c r="B443" s="8"/>
      <c r="E443" s="799"/>
      <c r="F443" s="8"/>
      <c r="G443" s="8"/>
      <c r="H443" s="8"/>
      <c r="I443" s="8"/>
      <c r="J443" s="8"/>
      <c r="K443" s="8"/>
      <c r="L443" s="8"/>
      <c r="M443" s="8"/>
      <c r="N443" s="8"/>
      <c r="O443" s="8"/>
      <c r="P443" s="8"/>
      <c r="T443" s="8"/>
      <c r="U443" s="8"/>
      <c r="V443" s="8"/>
      <c r="W443" s="8"/>
      <c r="X443" s="8"/>
      <c r="Y443" s="8"/>
      <c r="Z443" s="8"/>
      <c r="AA443" s="8"/>
      <c r="AB443" s="8"/>
      <c r="AC443" s="8"/>
      <c r="AD443" s="8"/>
    </row>
    <row r="444" ht="13.5" customHeight="1" spans="1:30" x14ac:dyDescent="0.25">
      <c r="A444" s="9"/>
      <c r="B444" s="8"/>
      <c r="E444" s="799"/>
      <c r="F444" s="8"/>
      <c r="G444" s="8"/>
      <c r="H444" s="8"/>
      <c r="I444" s="8"/>
      <c r="J444" s="8"/>
      <c r="K444" s="8"/>
      <c r="L444" s="8"/>
      <c r="M444" s="8"/>
      <c r="N444" s="8"/>
      <c r="O444" s="8"/>
      <c r="P444" s="8"/>
      <c r="T444" s="8"/>
      <c r="U444" s="8"/>
      <c r="V444" s="8"/>
      <c r="W444" s="8"/>
      <c r="X444" s="8"/>
      <c r="Y444" s="8"/>
      <c r="Z444" s="8"/>
      <c r="AA444" s="8"/>
      <c r="AB444" s="8"/>
      <c r="AC444" s="8"/>
      <c r="AD444" s="8"/>
    </row>
    <row r="445" ht="13.5" customHeight="1" spans="1:30" x14ac:dyDescent="0.25">
      <c r="A445" s="9"/>
      <c r="B445" s="8"/>
      <c r="E445" s="799"/>
      <c r="F445" s="8"/>
      <c r="G445" s="8"/>
      <c r="H445" s="8"/>
      <c r="I445" s="8"/>
      <c r="J445" s="8"/>
      <c r="K445" s="8"/>
      <c r="L445" s="8"/>
      <c r="M445" s="8"/>
      <c r="N445" s="8"/>
      <c r="O445" s="8"/>
      <c r="P445" s="8"/>
      <c r="T445" s="8"/>
      <c r="U445" s="8"/>
      <c r="V445" s="8"/>
      <c r="W445" s="8"/>
      <c r="X445" s="8"/>
      <c r="Y445" s="8"/>
      <c r="Z445" s="8"/>
      <c r="AA445" s="8"/>
      <c r="AB445" s="8"/>
      <c r="AC445" s="8"/>
      <c r="AD445" s="8"/>
    </row>
    <row r="446" ht="13.5" customHeight="1" spans="1:30" x14ac:dyDescent="0.25">
      <c r="A446" s="9"/>
      <c r="B446" s="8"/>
      <c r="E446" s="799"/>
      <c r="F446" s="8"/>
      <c r="G446" s="8"/>
      <c r="H446" s="8"/>
      <c r="I446" s="8"/>
      <c r="J446" s="8"/>
      <c r="K446" s="8"/>
      <c r="L446" s="8"/>
      <c r="M446" s="8"/>
      <c r="N446" s="8"/>
      <c r="O446" s="8"/>
      <c r="P446" s="8"/>
      <c r="T446" s="8"/>
      <c r="U446" s="8"/>
      <c r="V446" s="8"/>
      <c r="W446" s="8"/>
      <c r="X446" s="8"/>
      <c r="Y446" s="8"/>
      <c r="Z446" s="8"/>
      <c r="AA446" s="8"/>
      <c r="AB446" s="8"/>
      <c r="AC446" s="8"/>
      <c r="AD446" s="8"/>
    </row>
    <row r="447" ht="13.5" customHeight="1" spans="1:30" x14ac:dyDescent="0.25">
      <c r="A447" s="9"/>
      <c r="B447" s="8"/>
      <c r="E447" s="799"/>
      <c r="F447" s="8"/>
      <c r="G447" s="8"/>
      <c r="H447" s="8"/>
      <c r="I447" s="8"/>
      <c r="J447" s="8"/>
      <c r="K447" s="8"/>
      <c r="L447" s="8"/>
      <c r="M447" s="8"/>
      <c r="N447" s="8"/>
      <c r="O447" s="8"/>
      <c r="P447" s="8"/>
      <c r="T447" s="8"/>
      <c r="U447" s="8"/>
      <c r="V447" s="8"/>
      <c r="W447" s="8"/>
      <c r="X447" s="8"/>
      <c r="Y447" s="8"/>
      <c r="Z447" s="8"/>
      <c r="AA447" s="8"/>
      <c r="AB447" s="8"/>
      <c r="AC447" s="8"/>
      <c r="AD447" s="8"/>
    </row>
    <row r="448" ht="13.5" customHeight="1" spans="1:30" x14ac:dyDescent="0.25">
      <c r="A448" s="9"/>
      <c r="B448" s="8"/>
      <c r="E448" s="799"/>
      <c r="F448" s="8"/>
      <c r="G448" s="8"/>
      <c r="H448" s="8"/>
      <c r="I448" s="8"/>
      <c r="J448" s="8"/>
      <c r="K448" s="8"/>
      <c r="L448" s="8"/>
      <c r="M448" s="8"/>
      <c r="N448" s="8"/>
      <c r="O448" s="8"/>
      <c r="P448" s="8"/>
      <c r="T448" s="8"/>
      <c r="U448" s="8"/>
      <c r="V448" s="8"/>
      <c r="W448" s="8"/>
      <c r="X448" s="8"/>
      <c r="Y448" s="8"/>
      <c r="Z448" s="8"/>
      <c r="AA448" s="8"/>
      <c r="AB448" s="8"/>
      <c r="AC448" s="8"/>
      <c r="AD448" s="8"/>
    </row>
    <row r="449" ht="13.5" customHeight="1" x14ac:dyDescent="0.25"/>
    <row r="450" ht="13.5" customHeight="1" x14ac:dyDescent="0.25"/>
    <row r="451" ht="13.5" customHeight="1" x14ac:dyDescent="0.25"/>
    <row r="452" ht="13.5" customHeight="1" x14ac:dyDescent="0.25"/>
    <row r="453" ht="13.5" customHeight="1" x14ac:dyDescent="0.25"/>
    <row r="454" ht="13.5" customHeight="1" spans="1:30" x14ac:dyDescent="0.25">
      <c r="A454" s="4"/>
      <c r="B454" s="4"/>
      <c r="E454" s="4"/>
      <c r="F454" s="4"/>
      <c r="G454" s="4"/>
      <c r="H454" s="4"/>
      <c r="I454" s="4"/>
      <c r="J454" s="4"/>
      <c r="K454" s="4"/>
      <c r="L454" s="4"/>
      <c r="M454" s="4"/>
      <c r="N454" s="4"/>
      <c r="O454" s="4"/>
      <c r="P454" s="4"/>
      <c r="T454" s="4"/>
      <c r="U454" s="4"/>
      <c r="V454" s="4"/>
      <c r="W454" s="4"/>
      <c r="X454" s="4"/>
      <c r="Y454" s="4"/>
      <c r="Z454" s="4"/>
      <c r="AA454" s="4"/>
      <c r="AB454" s="4"/>
      <c r="AC454" s="4"/>
      <c r="AD454" s="4"/>
    </row>
    <row r="455" ht="13.5" customHeight="1" x14ac:dyDescent="0.25"/>
    <row r="456" ht="13.5" customHeight="1" x14ac:dyDescent="0.25"/>
    <row r="457" ht="13.5" customHeight="1" x14ac:dyDescent="0.25"/>
    <row r="458" ht="13.5" customHeight="1" x14ac:dyDescent="0.25"/>
    <row r="459" ht="13.5" customHeight="1" x14ac:dyDescent="0.25"/>
    <row r="460" ht="13.5" customHeight="1" spans="1:30" x14ac:dyDescent="0.25">
      <c r="A460" s="4"/>
      <c r="B460" s="4"/>
      <c r="E460" s="4"/>
      <c r="F460" s="4"/>
      <c r="G460" s="4"/>
      <c r="H460" s="4"/>
      <c r="I460" s="4"/>
      <c r="J460" s="4"/>
      <c r="K460" s="4"/>
      <c r="L460" s="4"/>
      <c r="M460" s="4"/>
      <c r="N460" s="4"/>
      <c r="O460" s="4"/>
      <c r="P460" s="4"/>
      <c r="T460" s="4"/>
      <c r="U460" s="4"/>
      <c r="V460" s="4"/>
      <c r="W460" s="4"/>
      <c r="X460" s="4"/>
      <c r="Y460" s="4"/>
      <c r="Z460" s="4"/>
      <c r="AA460" s="4"/>
      <c r="AB460" s="4"/>
      <c r="AC460" s="4"/>
      <c r="AD460" s="4"/>
    </row>
    <row r="461" ht="13.5" customHeight="1" x14ac:dyDescent="0.25"/>
    <row r="462" ht="13.5" customHeight="1" x14ac:dyDescent="0.25"/>
    <row r="463" ht="13.5" customHeight="1" x14ac:dyDescent="0.25"/>
    <row r="464" ht="13.5" customHeight="1" x14ac:dyDescent="0.25"/>
    <row r="465" ht="13.5" customHeight="1" x14ac:dyDescent="0.25"/>
    <row r="466" ht="13.5" customHeight="1" spans="1:30" x14ac:dyDescent="0.25">
      <c r="A466" s="4"/>
      <c r="B466" s="4"/>
      <c r="E466" s="4"/>
      <c r="F466" s="4"/>
      <c r="G466" s="4"/>
      <c r="H466" s="4"/>
      <c r="I466" s="4"/>
      <c r="J466" s="4"/>
      <c r="K466" s="4"/>
      <c r="L466" s="4"/>
      <c r="M466" s="4"/>
      <c r="N466" s="4"/>
      <c r="O466" s="4"/>
      <c r="P466" s="4"/>
      <c r="T466" s="4"/>
      <c r="U466" s="4"/>
      <c r="V466" s="4"/>
      <c r="W466" s="4"/>
      <c r="X466" s="4"/>
      <c r="Y466" s="4"/>
      <c r="Z466" s="4"/>
      <c r="AA466" s="4"/>
      <c r="AB466" s="4"/>
      <c r="AC466" s="4"/>
      <c r="AD466" s="4"/>
    </row>
    <row r="467" ht="13.5" customHeight="1" x14ac:dyDescent="0.25"/>
    <row r="468" ht="13.5" customHeight="1" x14ac:dyDescent="0.25"/>
    <row r="469" ht="13.5" customHeight="1" x14ac:dyDescent="0.25"/>
    <row r="470" ht="13.5" customHeight="1" x14ac:dyDescent="0.25"/>
    <row r="471" ht="13.5" customHeight="1" x14ac:dyDescent="0.25"/>
    <row r="472" ht="13.5" customHeight="1" spans="1:30" x14ac:dyDescent="0.25">
      <c r="A472" s="4"/>
      <c r="B472" s="4"/>
      <c r="E472" s="4"/>
      <c r="F472" s="4"/>
      <c r="G472" s="4"/>
      <c r="H472" s="4"/>
      <c r="I472" s="4"/>
      <c r="J472" s="4"/>
      <c r="K472" s="4"/>
      <c r="L472" s="4"/>
      <c r="M472" s="4"/>
      <c r="N472" s="4"/>
      <c r="O472" s="4"/>
      <c r="P472" s="4"/>
      <c r="T472" s="4"/>
      <c r="U472" s="4"/>
      <c r="V472" s="4"/>
      <c r="W472" s="4"/>
      <c r="X472" s="4"/>
      <c r="Y472" s="4"/>
      <c r="Z472" s="4"/>
      <c r="AA472" s="4"/>
      <c r="AB472" s="4"/>
      <c r="AC472" s="4"/>
      <c r="AD472" s="4"/>
    </row>
    <row r="473" ht="13.5" customHeight="1" x14ac:dyDescent="0.25"/>
    <row r="474" ht="13.5" customHeight="1" x14ac:dyDescent="0.25"/>
    <row r="475" ht="13.5" customHeight="1" x14ac:dyDescent="0.25"/>
    <row r="476" ht="13.5" customHeight="1" x14ac:dyDescent="0.25"/>
    <row r="477" ht="13.5" customHeight="1" x14ac:dyDescent="0.25"/>
    <row r="478" ht="13.5" customHeight="1" spans="1:30" x14ac:dyDescent="0.25">
      <c r="A478" s="4"/>
      <c r="B478" s="4"/>
      <c r="E478" s="4"/>
      <c r="F478" s="4"/>
      <c r="G478" s="4"/>
      <c r="H478" s="4"/>
      <c r="I478" s="4"/>
      <c r="J478" s="4"/>
      <c r="K478" s="4"/>
      <c r="L478" s="4"/>
      <c r="M478" s="4"/>
      <c r="N478" s="4"/>
      <c r="O478" s="4"/>
      <c r="P478" s="4"/>
      <c r="T478" s="4"/>
      <c r="U478" s="4"/>
      <c r="V478" s="4"/>
      <c r="W478" s="4"/>
      <c r="X478" s="4"/>
      <c r="Y478" s="4"/>
      <c r="Z478" s="4"/>
      <c r="AA478" s="4"/>
      <c r="AB478" s="4"/>
      <c r="AC478" s="4"/>
      <c r="AD478" s="4"/>
    </row>
    <row r="479" ht="13.5" customHeight="1" x14ac:dyDescent="0.25"/>
    <row r="480" ht="13.5" customHeight="1" x14ac:dyDescent="0.25"/>
    <row r="481" ht="13.5" customHeight="1" x14ac:dyDescent="0.25"/>
    <row r="482" ht="13.5" customHeight="1" x14ac:dyDescent="0.25"/>
    <row r="483" ht="13.5" customHeight="1" x14ac:dyDescent="0.25"/>
    <row r="484" ht="13.5" customHeight="1" spans="1:30" x14ac:dyDescent="0.25">
      <c r="A484" s="4"/>
      <c r="B484" s="4"/>
      <c r="E484" s="4"/>
      <c r="F484" s="4"/>
      <c r="G484" s="4"/>
      <c r="H484" s="4"/>
      <c r="I484" s="4"/>
      <c r="J484" s="4"/>
      <c r="K484" s="4"/>
      <c r="L484" s="4"/>
      <c r="M484" s="4"/>
      <c r="N484" s="4"/>
      <c r="O484" s="4"/>
      <c r="P484" s="4"/>
      <c r="T484" s="4"/>
      <c r="U484" s="4"/>
      <c r="V484" s="4"/>
      <c r="W484" s="4"/>
      <c r="X484" s="4"/>
      <c r="Y484" s="4"/>
      <c r="Z484" s="4"/>
      <c r="AA484" s="4"/>
      <c r="AB484" s="4"/>
      <c r="AC484" s="4"/>
      <c r="AD484" s="4"/>
    </row>
    <row r="485" ht="13.5" customHeight="1" x14ac:dyDescent="0.25"/>
    <row r="486" ht="13.5" customHeight="1" x14ac:dyDescent="0.25"/>
    <row r="487" ht="13.5" customHeight="1" x14ac:dyDescent="0.25"/>
    <row r="488" ht="13.5" customHeight="1" x14ac:dyDescent="0.25"/>
    <row r="489" ht="13.5" customHeight="1" x14ac:dyDescent="0.25"/>
    <row r="490" ht="13.5" customHeight="1" spans="1:30" x14ac:dyDescent="0.25">
      <c r="A490" s="4"/>
      <c r="B490" s="4"/>
      <c r="E490" s="4"/>
      <c r="F490" s="4"/>
      <c r="G490" s="4"/>
      <c r="H490" s="4"/>
      <c r="I490" s="4"/>
      <c r="J490" s="4"/>
      <c r="K490" s="4"/>
      <c r="L490" s="4"/>
      <c r="M490" s="4"/>
      <c r="N490" s="4"/>
      <c r="O490" s="4"/>
      <c r="P490" s="4"/>
      <c r="T490" s="4"/>
      <c r="U490" s="4"/>
      <c r="V490" s="4"/>
      <c r="W490" s="4"/>
      <c r="X490" s="4"/>
      <c r="Y490" s="4"/>
      <c r="Z490" s="4"/>
      <c r="AA490" s="4"/>
      <c r="AB490" s="4"/>
      <c r="AC490" s="4"/>
      <c r="AD490" s="4"/>
    </row>
    <row r="491" ht="13.5" customHeight="1" x14ac:dyDescent="0.25"/>
    <row r="492" ht="13.5" customHeight="1" x14ac:dyDescent="0.25"/>
    <row r="493" ht="13.5" customHeight="1" x14ac:dyDescent="0.25"/>
    <row r="494" ht="13.5" customHeight="1" x14ac:dyDescent="0.25"/>
    <row r="495" ht="13.5" customHeight="1" x14ac:dyDescent="0.25"/>
    <row r="496" ht="13.5" customHeight="1" spans="1:30" x14ac:dyDescent="0.25">
      <c r="A496" s="4"/>
      <c r="B496" s="4"/>
      <c r="E496" s="4"/>
      <c r="F496" s="4"/>
      <c r="G496" s="4"/>
      <c r="H496" s="4"/>
      <c r="I496" s="4"/>
      <c r="J496" s="4"/>
      <c r="K496" s="4"/>
      <c r="L496" s="4"/>
      <c r="M496" s="4"/>
      <c r="N496" s="4"/>
      <c r="O496" s="4"/>
      <c r="P496" s="4"/>
      <c r="T496" s="4"/>
      <c r="U496" s="4"/>
      <c r="V496" s="4"/>
      <c r="W496" s="4"/>
      <c r="X496" s="4"/>
      <c r="Y496" s="4"/>
      <c r="Z496" s="4"/>
      <c r="AA496" s="4"/>
      <c r="AB496" s="4"/>
      <c r="AC496" s="4"/>
      <c r="AD496" s="4"/>
    </row>
    <row r="497" ht="13.5" customHeight="1" x14ac:dyDescent="0.25"/>
    <row r="498" ht="13.5" customHeight="1" x14ac:dyDescent="0.25"/>
    <row r="499" ht="13.5" customHeight="1" x14ac:dyDescent="0.25"/>
    <row r="500" ht="13.5" customHeight="1" x14ac:dyDescent="0.25"/>
    <row r="501" ht="13.5" customHeight="1" x14ac:dyDescent="0.25"/>
    <row r="502" ht="13.5" customHeight="1" spans="1:30" x14ac:dyDescent="0.25">
      <c r="A502" s="4"/>
      <c r="B502" s="4"/>
      <c r="E502" s="4"/>
      <c r="F502" s="4"/>
      <c r="G502" s="4"/>
      <c r="H502" s="4"/>
      <c r="I502" s="4"/>
      <c r="J502" s="4"/>
      <c r="K502" s="4"/>
      <c r="L502" s="4"/>
      <c r="M502" s="4"/>
      <c r="N502" s="4"/>
      <c r="O502" s="4"/>
      <c r="P502" s="4"/>
      <c r="T502" s="4"/>
      <c r="U502" s="4"/>
      <c r="V502" s="4"/>
      <c r="W502" s="4"/>
      <c r="X502" s="4"/>
      <c r="Y502" s="4"/>
      <c r="Z502" s="4"/>
      <c r="AA502" s="4"/>
      <c r="AB502" s="4"/>
      <c r="AC502" s="4"/>
      <c r="AD502" s="4"/>
    </row>
    <row r="503" ht="13.5" customHeight="1" x14ac:dyDescent="0.25"/>
    <row r="504" ht="13.5" customHeight="1" x14ac:dyDescent="0.25"/>
    <row r="505" ht="13.5" customHeight="1" spans="1:30" x14ac:dyDescent="0.25">
      <c r="A505" s="4"/>
      <c r="B505" s="4"/>
      <c r="E505" s="4"/>
      <c r="F505" s="4"/>
      <c r="G505" s="4"/>
      <c r="H505" s="4"/>
      <c r="I505" s="4"/>
      <c r="J505" s="4"/>
      <c r="K505" s="4"/>
      <c r="L505" s="4"/>
      <c r="M505" s="4"/>
      <c r="N505" s="4"/>
      <c r="O505" s="4"/>
      <c r="P505" s="4"/>
      <c r="T505" s="4"/>
      <c r="U505" s="4"/>
      <c r="V505" s="4"/>
      <c r="W505" s="4"/>
      <c r="X505" s="4"/>
      <c r="Y505" s="4"/>
      <c r="Z505" s="4"/>
      <c r="AA505" s="4"/>
      <c r="AB505" s="4"/>
      <c r="AC505" s="4"/>
      <c r="AD505" s="4"/>
    </row>
    <row r="506" ht="13.5" customHeight="1" spans="1:30" x14ac:dyDescent="0.25">
      <c r="A506" s="4"/>
      <c r="B506" s="4"/>
      <c r="E506" s="4"/>
      <c r="F506" s="4"/>
      <c r="G506" s="4"/>
      <c r="H506" s="4"/>
      <c r="I506" s="4"/>
      <c r="J506" s="4"/>
      <c r="K506" s="4"/>
      <c r="L506" s="4"/>
      <c r="M506" s="4"/>
      <c r="N506" s="4"/>
      <c r="O506" s="4"/>
      <c r="P506" s="4"/>
      <c r="T506" s="4"/>
      <c r="U506" s="4"/>
      <c r="V506" s="4"/>
      <c r="W506" s="4"/>
      <c r="X506" s="4"/>
      <c r="Y506" s="4"/>
      <c r="Z506" s="4"/>
      <c r="AA506" s="4"/>
      <c r="AB506" s="4"/>
      <c r="AC506" s="4"/>
      <c r="AD506" s="4"/>
    </row>
    <row r="507" ht="13.5" customHeight="1" spans="1:30" x14ac:dyDescent="0.25">
      <c r="A507" s="4"/>
      <c r="B507" s="4"/>
      <c r="E507" s="4"/>
      <c r="F507" s="4"/>
      <c r="G507" s="4"/>
      <c r="H507" s="4"/>
      <c r="I507" s="4"/>
      <c r="J507" s="4"/>
      <c r="K507" s="4"/>
      <c r="L507" s="4"/>
      <c r="M507" s="4"/>
      <c r="N507" s="4"/>
      <c r="O507" s="4"/>
      <c r="P507" s="4"/>
      <c r="T507" s="4"/>
      <c r="U507" s="4"/>
      <c r="V507" s="4"/>
      <c r="W507" s="4"/>
      <c r="X507" s="4"/>
      <c r="Y507" s="4"/>
      <c r="Z507" s="4"/>
      <c r="AA507" s="4"/>
      <c r="AB507" s="4"/>
      <c r="AC507" s="4"/>
      <c r="AD507" s="4"/>
    </row>
    <row r="508" ht="13.5" customHeight="1" spans="1:30" x14ac:dyDescent="0.25">
      <c r="A508" s="4"/>
      <c r="B508" s="4"/>
      <c r="E508" s="4"/>
      <c r="F508" s="4"/>
      <c r="G508" s="4"/>
      <c r="H508" s="4"/>
      <c r="I508" s="4"/>
      <c r="J508" s="4"/>
      <c r="K508" s="4"/>
      <c r="L508" s="4"/>
      <c r="M508" s="4"/>
      <c r="N508" s="4"/>
      <c r="O508" s="4"/>
      <c r="P508" s="4"/>
      <c r="T508" s="4"/>
      <c r="U508" s="4"/>
      <c r="V508" s="4"/>
      <c r="W508" s="4"/>
      <c r="X508" s="4"/>
      <c r="Y508" s="4"/>
      <c r="Z508" s="4"/>
      <c r="AA508" s="4"/>
      <c r="AB508" s="4"/>
      <c r="AC508" s="4"/>
      <c r="AD508" s="4"/>
    </row>
    <row r="509" ht="13.5" customHeight="1" spans="1:30" x14ac:dyDescent="0.25">
      <c r="A509" s="4"/>
      <c r="B509" s="4"/>
      <c r="E509" s="4"/>
      <c r="F509" s="4"/>
      <c r="G509" s="4"/>
      <c r="H509" s="4"/>
      <c r="I509" s="4"/>
      <c r="J509" s="4"/>
      <c r="K509" s="4"/>
      <c r="L509" s="4"/>
      <c r="M509" s="4"/>
      <c r="N509" s="4"/>
      <c r="O509" s="4"/>
      <c r="P509" s="4"/>
      <c r="T509" s="4"/>
      <c r="U509" s="4"/>
      <c r="V509" s="4"/>
      <c r="W509" s="4"/>
      <c r="X509" s="4"/>
      <c r="Y509" s="4"/>
      <c r="Z509" s="4"/>
      <c r="AA509" s="4"/>
      <c r="AB509" s="4"/>
      <c r="AC509" s="4"/>
      <c r="AD509" s="4"/>
    </row>
    <row r="510" ht="13.5" customHeight="1" spans="1:30" x14ac:dyDescent="0.25">
      <c r="A510" s="4"/>
      <c r="B510" s="4"/>
      <c r="E510" s="4"/>
      <c r="F510" s="4"/>
      <c r="G510" s="4"/>
      <c r="H510" s="4"/>
      <c r="I510" s="4"/>
      <c r="J510" s="4"/>
      <c r="K510" s="4"/>
      <c r="L510" s="4"/>
      <c r="M510" s="4"/>
      <c r="N510" s="4"/>
      <c r="O510" s="4"/>
      <c r="P510" s="4"/>
      <c r="T510" s="4"/>
      <c r="U510" s="4"/>
      <c r="V510" s="4"/>
      <c r="W510" s="4"/>
      <c r="X510" s="4"/>
      <c r="Y510" s="4"/>
      <c r="Z510" s="4"/>
      <c r="AA510" s="4"/>
      <c r="AB510" s="4"/>
      <c r="AC510" s="4"/>
      <c r="AD510" s="4"/>
    </row>
    <row r="511" ht="13.5" customHeight="1" spans="1:30" x14ac:dyDescent="0.25">
      <c r="A511" s="4"/>
      <c r="B511" s="4"/>
      <c r="E511" s="4"/>
      <c r="F511" s="4"/>
      <c r="G511" s="4"/>
      <c r="H511" s="4"/>
      <c r="I511" s="4"/>
      <c r="J511" s="4"/>
      <c r="K511" s="4"/>
      <c r="L511" s="4"/>
      <c r="M511" s="4"/>
      <c r="N511" s="4"/>
      <c r="O511" s="4"/>
      <c r="P511" s="4"/>
      <c r="T511" s="4"/>
      <c r="U511" s="4"/>
      <c r="V511" s="4"/>
      <c r="W511" s="4"/>
      <c r="X511" s="4"/>
      <c r="Y511" s="4"/>
      <c r="Z511" s="4"/>
      <c r="AA511" s="4"/>
      <c r="AB511" s="4"/>
      <c r="AC511" s="4"/>
      <c r="AD511" s="4"/>
    </row>
    <row r="512" ht="13.5" customHeight="1" spans="1:30" x14ac:dyDescent="0.25">
      <c r="A512" s="4"/>
      <c r="B512" s="4"/>
      <c r="E512" s="4"/>
      <c r="F512" s="4"/>
      <c r="G512" s="4"/>
      <c r="H512" s="4"/>
      <c r="I512" s="4"/>
      <c r="J512" s="4"/>
      <c r="K512" s="4"/>
      <c r="L512" s="4"/>
      <c r="M512" s="4"/>
      <c r="N512" s="4"/>
      <c r="O512" s="4"/>
      <c r="P512" s="4"/>
      <c r="T512" s="4"/>
      <c r="U512" s="4"/>
      <c r="V512" s="4"/>
      <c r="W512" s="4"/>
      <c r="X512" s="4"/>
      <c r="Y512" s="4"/>
      <c r="Z512" s="4"/>
      <c r="AA512" s="4"/>
      <c r="AB512" s="4"/>
      <c r="AC512" s="4"/>
      <c r="AD512" s="4"/>
    </row>
    <row r="513" ht="13.5" customHeight="1" spans="1:30" x14ac:dyDescent="0.25">
      <c r="A513" s="4"/>
      <c r="B513" s="4"/>
      <c r="E513" s="4"/>
      <c r="F513" s="4"/>
      <c r="G513" s="4"/>
      <c r="H513" s="4"/>
      <c r="I513" s="4"/>
      <c r="J513" s="4"/>
      <c r="K513" s="4"/>
      <c r="L513" s="4"/>
      <c r="M513" s="4"/>
      <c r="N513" s="4"/>
      <c r="O513" s="4"/>
      <c r="P513" s="4"/>
      <c r="T513" s="4"/>
      <c r="U513" s="4"/>
      <c r="V513" s="4"/>
      <c r="W513" s="4"/>
      <c r="X513" s="4"/>
      <c r="Y513" s="4"/>
      <c r="Z513" s="4"/>
      <c r="AA513" s="4"/>
      <c r="AB513" s="4"/>
      <c r="AC513" s="4"/>
      <c r="AD513" s="4"/>
    </row>
    <row r="514" ht="13.5" customHeight="1" spans="1:30" x14ac:dyDescent="0.25">
      <c r="A514" s="4"/>
      <c r="B514" s="4"/>
      <c r="E514" s="4"/>
      <c r="F514" s="4"/>
      <c r="G514" s="4"/>
      <c r="H514" s="4"/>
      <c r="I514" s="4"/>
      <c r="J514" s="4"/>
      <c r="K514" s="4"/>
      <c r="L514" s="4"/>
      <c r="M514" s="4"/>
      <c r="N514" s="4"/>
      <c r="O514" s="4"/>
      <c r="P514" s="4"/>
      <c r="T514" s="4"/>
      <c r="U514" s="4"/>
      <c r="V514" s="4"/>
      <c r="W514" s="4"/>
      <c r="X514" s="4"/>
      <c r="Y514" s="4"/>
      <c r="Z514" s="4"/>
      <c r="AA514" s="4"/>
      <c r="AB514" s="4"/>
      <c r="AC514" s="4"/>
      <c r="AD514" s="4"/>
    </row>
    <row r="515" ht="13.5" customHeight="1" spans="1:30" x14ac:dyDescent="0.25">
      <c r="A515" s="4"/>
      <c r="B515" s="4"/>
      <c r="E515" s="4"/>
      <c r="F515" s="4"/>
      <c r="G515" s="4"/>
      <c r="H515" s="4"/>
      <c r="I515" s="4"/>
      <c r="J515" s="4"/>
      <c r="K515" s="4"/>
      <c r="L515" s="4"/>
      <c r="M515" s="4"/>
      <c r="N515" s="4"/>
      <c r="O515" s="4"/>
      <c r="P515" s="4"/>
      <c r="T515" s="4"/>
      <c r="U515" s="4"/>
      <c r="V515" s="4"/>
      <c r="W515" s="4"/>
      <c r="X515" s="4"/>
      <c r="Y515" s="4"/>
      <c r="Z515" s="4"/>
      <c r="AA515" s="4"/>
      <c r="AB515" s="4"/>
      <c r="AC515" s="4"/>
      <c r="AD515" s="4"/>
    </row>
    <row r="516" ht="13.5" customHeight="1" spans="1:30" x14ac:dyDescent="0.25">
      <c r="A516" s="4"/>
      <c r="B516" s="4"/>
      <c r="E516" s="4"/>
      <c r="F516" s="4"/>
      <c r="G516" s="4"/>
      <c r="H516" s="4"/>
      <c r="I516" s="4"/>
      <c r="J516" s="4"/>
      <c r="K516" s="4"/>
      <c r="L516" s="4"/>
      <c r="M516" s="4"/>
      <c r="N516" s="4"/>
      <c r="O516" s="4"/>
      <c r="P516" s="4"/>
      <c r="T516" s="4"/>
      <c r="U516" s="4"/>
      <c r="V516" s="4"/>
      <c r="W516" s="4"/>
      <c r="X516" s="4"/>
      <c r="Y516" s="4"/>
      <c r="Z516" s="4"/>
      <c r="AA516" s="4"/>
      <c r="AB516" s="4"/>
      <c r="AC516" s="4"/>
      <c r="AD516" s="4"/>
    </row>
    <row r="517" ht="13.5" customHeight="1" spans="1:30" x14ac:dyDescent="0.25">
      <c r="A517" s="4"/>
      <c r="B517" s="4"/>
      <c r="E517" s="4"/>
      <c r="F517" s="4"/>
      <c r="G517" s="4"/>
      <c r="H517" s="4"/>
      <c r="I517" s="4"/>
      <c r="J517" s="4"/>
      <c r="K517" s="4"/>
      <c r="L517" s="4"/>
      <c r="M517" s="4"/>
      <c r="N517" s="4"/>
      <c r="O517" s="4"/>
      <c r="P517" s="4"/>
      <c r="T517" s="4"/>
      <c r="U517" s="4"/>
      <c r="V517" s="4"/>
      <c r="W517" s="4"/>
      <c r="X517" s="4"/>
      <c r="Y517" s="4"/>
      <c r="Z517" s="4"/>
      <c r="AA517" s="4"/>
      <c r="AB517" s="4"/>
      <c r="AC517" s="4"/>
      <c r="AD517" s="4"/>
    </row>
    <row r="518" ht="13.5" customHeight="1" spans="1:30" x14ac:dyDescent="0.25">
      <c r="A518" s="4"/>
      <c r="B518" s="4"/>
      <c r="E518" s="4"/>
      <c r="F518" s="4"/>
      <c r="G518" s="4"/>
      <c r="H518" s="4"/>
      <c r="I518" s="4"/>
      <c r="J518" s="4"/>
      <c r="K518" s="4"/>
      <c r="L518" s="4"/>
      <c r="M518" s="4"/>
      <c r="N518" s="4"/>
      <c r="O518" s="4"/>
      <c r="P518" s="4"/>
      <c r="T518" s="4"/>
      <c r="U518" s="4"/>
      <c r="V518" s="4"/>
      <c r="W518" s="4"/>
      <c r="X518" s="4"/>
      <c r="Y518" s="4"/>
      <c r="Z518" s="4"/>
      <c r="AA518" s="4"/>
      <c r="AB518" s="4"/>
      <c r="AC518" s="4"/>
      <c r="AD518" s="4"/>
    </row>
    <row r="519" ht="13.5" customHeight="1" spans="1:30" x14ac:dyDescent="0.25">
      <c r="A519" s="4"/>
      <c r="B519" s="4"/>
      <c r="E519" s="4"/>
      <c r="F519" s="4"/>
      <c r="G519" s="4"/>
      <c r="H519" s="4"/>
      <c r="I519" s="4"/>
      <c r="J519" s="4"/>
      <c r="K519" s="4"/>
      <c r="L519" s="4"/>
      <c r="M519" s="4"/>
      <c r="N519" s="4"/>
      <c r="O519" s="4"/>
      <c r="P519" s="4"/>
      <c r="T519" s="4"/>
      <c r="U519" s="4"/>
      <c r="V519" s="4"/>
      <c r="W519" s="4"/>
      <c r="X519" s="4"/>
      <c r="Y519" s="4"/>
      <c r="Z519" s="4"/>
      <c r="AA519" s="4"/>
      <c r="AB519" s="4"/>
      <c r="AC519" s="4"/>
      <c r="AD519" s="4"/>
    </row>
    <row r="520" ht="13.5" customHeight="1" spans="1:30" x14ac:dyDescent="0.25">
      <c r="A520" s="4"/>
      <c r="B520" s="4"/>
      <c r="E520" s="4"/>
      <c r="F520" s="4"/>
      <c r="G520" s="4"/>
      <c r="H520" s="4"/>
      <c r="I520" s="4"/>
      <c r="J520" s="4"/>
      <c r="K520" s="4"/>
      <c r="L520" s="4"/>
      <c r="M520" s="4"/>
      <c r="N520" s="4"/>
      <c r="O520" s="4"/>
      <c r="P520" s="4"/>
      <c r="T520" s="4"/>
      <c r="U520" s="4"/>
      <c r="V520" s="4"/>
      <c r="W520" s="4"/>
      <c r="X520" s="4"/>
      <c r="Y520" s="4"/>
      <c r="Z520" s="4"/>
      <c r="AA520" s="4"/>
      <c r="AB520" s="4"/>
      <c r="AC520" s="4"/>
      <c r="AD520" s="4"/>
    </row>
    <row r="521" ht="13.5" customHeight="1" spans="1:30" x14ac:dyDescent="0.25">
      <c r="A521" s="4"/>
      <c r="B521" s="4"/>
      <c r="E521" s="4"/>
      <c r="F521" s="4"/>
      <c r="G521" s="4"/>
      <c r="H521" s="4"/>
      <c r="I521" s="4"/>
      <c r="J521" s="4"/>
      <c r="K521" s="4"/>
      <c r="L521" s="4"/>
      <c r="M521" s="4"/>
      <c r="N521" s="4"/>
      <c r="O521" s="4"/>
      <c r="P521" s="4"/>
      <c r="T521" s="4"/>
      <c r="U521" s="4"/>
      <c r="V521" s="4"/>
      <c r="W521" s="4"/>
      <c r="X521" s="4"/>
      <c r="Y521" s="4"/>
      <c r="Z521" s="4"/>
      <c r="AA521" s="4"/>
      <c r="AB521" s="4"/>
      <c r="AC521" s="4"/>
      <c r="AD521" s="4"/>
    </row>
    <row r="522" ht="13.5" customHeight="1" spans="1:30" x14ac:dyDescent="0.25">
      <c r="A522" s="4"/>
      <c r="B522" s="4"/>
      <c r="E522" s="4"/>
      <c r="F522" s="4"/>
      <c r="G522" s="4"/>
      <c r="H522" s="4"/>
      <c r="I522" s="4"/>
      <c r="J522" s="4"/>
      <c r="K522" s="4"/>
      <c r="L522" s="4"/>
      <c r="M522" s="4"/>
      <c r="N522" s="4"/>
      <c r="O522" s="4"/>
      <c r="P522" s="4"/>
      <c r="T522" s="4"/>
      <c r="U522" s="4"/>
      <c r="V522" s="4"/>
      <c r="W522" s="4"/>
      <c r="X522" s="4"/>
      <c r="Y522" s="4"/>
      <c r="Z522" s="4"/>
      <c r="AA522" s="4"/>
      <c r="AB522" s="4"/>
      <c r="AC522" s="4"/>
      <c r="AD522" s="4"/>
    </row>
    <row r="523" ht="13.5" customHeight="1" spans="1:30" x14ac:dyDescent="0.25">
      <c r="A523" s="4"/>
      <c r="B523" s="4"/>
      <c r="E523" s="4"/>
      <c r="F523" s="4"/>
      <c r="G523" s="4"/>
      <c r="H523" s="4"/>
      <c r="I523" s="4"/>
      <c r="J523" s="4"/>
      <c r="K523" s="4"/>
      <c r="L523" s="4"/>
      <c r="M523" s="4"/>
      <c r="N523" s="4"/>
      <c r="O523" s="4"/>
      <c r="P523" s="4"/>
      <c r="T523" s="4"/>
      <c r="U523" s="4"/>
      <c r="V523" s="4"/>
      <c r="W523" s="4"/>
      <c r="X523" s="4"/>
      <c r="Y523" s="4"/>
      <c r="Z523" s="4"/>
      <c r="AA523" s="4"/>
      <c r="AB523" s="4"/>
      <c r="AC523" s="4"/>
      <c r="AD523" s="4"/>
    </row>
    <row r="524" ht="13.5" customHeight="1" spans="1:30" x14ac:dyDescent="0.25">
      <c r="A524" s="4"/>
      <c r="B524" s="4"/>
      <c r="E524" s="4"/>
      <c r="F524" s="4"/>
      <c r="G524" s="4"/>
      <c r="H524" s="4"/>
      <c r="I524" s="4"/>
      <c r="J524" s="4"/>
      <c r="K524" s="4"/>
      <c r="L524" s="4"/>
      <c r="M524" s="4"/>
      <c r="N524" s="4"/>
      <c r="O524" s="4"/>
      <c r="P524" s="4"/>
      <c r="T524" s="4"/>
      <c r="U524" s="4"/>
      <c r="V524" s="4"/>
      <c r="W524" s="4"/>
      <c r="X524" s="4"/>
      <c r="Y524" s="4"/>
      <c r="Z524" s="4"/>
      <c r="AA524" s="4"/>
      <c r="AB524" s="4"/>
      <c r="AC524" s="4"/>
      <c r="AD524" s="4"/>
    </row>
    <row r="525" ht="13.5" customHeight="1" spans="1:30" x14ac:dyDescent="0.25">
      <c r="A525" s="4"/>
      <c r="B525" s="4"/>
      <c r="E525" s="4"/>
      <c r="F525" s="4"/>
      <c r="G525" s="4"/>
      <c r="H525" s="4"/>
      <c r="I525" s="4"/>
      <c r="J525" s="4"/>
      <c r="K525" s="4"/>
      <c r="L525" s="4"/>
      <c r="M525" s="4"/>
      <c r="N525" s="4"/>
      <c r="O525" s="4"/>
      <c r="P525" s="4"/>
      <c r="T525" s="4"/>
      <c r="U525" s="4"/>
      <c r="V525" s="4"/>
      <c r="W525" s="4"/>
      <c r="X525" s="4"/>
      <c r="Y525" s="4"/>
      <c r="Z525" s="4"/>
      <c r="AA525" s="4"/>
      <c r="AB525" s="4"/>
      <c r="AC525" s="4"/>
      <c r="AD525" s="4"/>
    </row>
    <row r="526" ht="13.5" customHeight="1" spans="1:30" x14ac:dyDescent="0.25">
      <c r="A526" s="4"/>
      <c r="B526" s="4"/>
      <c r="E526" s="4"/>
      <c r="F526" s="4"/>
      <c r="G526" s="4"/>
      <c r="H526" s="4"/>
      <c r="I526" s="4"/>
      <c r="J526" s="4"/>
      <c r="K526" s="4"/>
      <c r="L526" s="4"/>
      <c r="M526" s="4"/>
      <c r="N526" s="4"/>
      <c r="O526" s="4"/>
      <c r="P526" s="4"/>
      <c r="T526" s="4"/>
      <c r="U526" s="4"/>
      <c r="V526" s="4"/>
      <c r="W526" s="4"/>
      <c r="X526" s="4"/>
      <c r="Y526" s="4"/>
      <c r="Z526" s="4"/>
      <c r="AA526" s="4"/>
      <c r="AB526" s="4"/>
      <c r="AC526" s="4"/>
      <c r="AD526" s="4"/>
    </row>
    <row r="527" ht="13.5" customHeight="1" spans="1:30" x14ac:dyDescent="0.25">
      <c r="A527" s="4"/>
      <c r="B527" s="4"/>
      <c r="E527" s="4"/>
      <c r="F527" s="4"/>
      <c r="G527" s="4"/>
      <c r="H527" s="4"/>
      <c r="I527" s="4"/>
      <c r="J527" s="4"/>
      <c r="K527" s="4"/>
      <c r="L527" s="4"/>
      <c r="M527" s="4"/>
      <c r="N527" s="4"/>
      <c r="O527" s="4"/>
      <c r="P527" s="4"/>
      <c r="T527" s="4"/>
      <c r="U527" s="4"/>
      <c r="V527" s="4"/>
      <c r="W527" s="4"/>
      <c r="X527" s="4"/>
      <c r="Y527" s="4"/>
      <c r="Z527" s="4"/>
      <c r="AA527" s="4"/>
      <c r="AB527" s="4"/>
      <c r="AC527" s="4"/>
      <c r="AD527" s="4"/>
    </row>
    <row r="528" ht="13.5" customHeight="1" spans="1:30" x14ac:dyDescent="0.25">
      <c r="A528" s="4"/>
      <c r="B528" s="4"/>
      <c r="E528" s="4"/>
      <c r="F528" s="4"/>
      <c r="G528" s="4"/>
      <c r="H528" s="4"/>
      <c r="I528" s="4"/>
      <c r="J528" s="4"/>
      <c r="K528" s="4"/>
      <c r="L528" s="4"/>
      <c r="M528" s="4"/>
      <c r="N528" s="4"/>
      <c r="O528" s="4"/>
      <c r="P528" s="4"/>
      <c r="T528" s="4"/>
      <c r="U528" s="4"/>
      <c r="V528" s="4"/>
      <c r="W528" s="4"/>
      <c r="X528" s="4"/>
      <c r="Y528" s="4"/>
      <c r="Z528" s="4"/>
      <c r="AA528" s="4"/>
      <c r="AB528" s="4"/>
      <c r="AC528" s="4"/>
      <c r="AD528" s="4"/>
    </row>
    <row r="529" ht="13.5" customHeight="1" spans="1:30" x14ac:dyDescent="0.25">
      <c r="A529" s="4"/>
      <c r="B529" s="4"/>
      <c r="E529" s="4"/>
      <c r="F529" s="4"/>
      <c r="G529" s="4"/>
      <c r="H529" s="4"/>
      <c r="I529" s="4"/>
      <c r="J529" s="4"/>
      <c r="K529" s="4"/>
      <c r="L529" s="4"/>
      <c r="M529" s="4"/>
      <c r="N529" s="4"/>
      <c r="O529" s="4"/>
      <c r="P529" s="4"/>
      <c r="T529" s="4"/>
      <c r="U529" s="4"/>
      <c r="V529" s="4"/>
      <c r="W529" s="4"/>
      <c r="X529" s="4"/>
      <c r="Y529" s="4"/>
      <c r="Z529" s="4"/>
      <c r="AA529" s="4"/>
      <c r="AB529" s="4"/>
      <c r="AC529" s="4"/>
      <c r="AD529" s="4"/>
    </row>
    <row r="530" ht="13.5" customHeight="1" spans="1:30" x14ac:dyDescent="0.25">
      <c r="A530" s="4"/>
      <c r="B530" s="4"/>
      <c r="E530" s="4"/>
      <c r="F530" s="4"/>
      <c r="G530" s="4"/>
      <c r="H530" s="4"/>
      <c r="I530" s="4"/>
      <c r="J530" s="4"/>
      <c r="K530" s="4"/>
      <c r="L530" s="4"/>
      <c r="M530" s="4"/>
      <c r="N530" s="4"/>
      <c r="O530" s="4"/>
      <c r="P530" s="4"/>
      <c r="T530" s="4"/>
      <c r="U530" s="4"/>
      <c r="V530" s="4"/>
      <c r="W530" s="4"/>
      <c r="X530" s="4"/>
      <c r="Y530" s="4"/>
      <c r="Z530" s="4"/>
      <c r="AA530" s="4"/>
      <c r="AB530" s="4"/>
      <c r="AC530" s="4"/>
      <c r="AD530" s="4"/>
    </row>
    <row r="531" ht="13.5" customHeight="1" spans="1:30" x14ac:dyDescent="0.25">
      <c r="A531" s="4"/>
      <c r="B531" s="4"/>
      <c r="E531" s="4"/>
      <c r="F531" s="4"/>
      <c r="G531" s="4"/>
      <c r="H531" s="4"/>
      <c r="I531" s="4"/>
      <c r="J531" s="4"/>
      <c r="K531" s="4"/>
      <c r="L531" s="4"/>
      <c r="M531" s="4"/>
      <c r="N531" s="4"/>
      <c r="O531" s="4"/>
      <c r="P531" s="4"/>
      <c r="T531" s="4"/>
      <c r="U531" s="4"/>
      <c r="V531" s="4"/>
      <c r="W531" s="4"/>
      <c r="X531" s="4"/>
      <c r="Y531" s="4"/>
      <c r="Z531" s="4"/>
      <c r="AA531" s="4"/>
      <c r="AB531" s="4"/>
      <c r="AC531" s="4"/>
      <c r="AD531" s="4"/>
    </row>
    <row r="532" ht="13.5" customHeight="1" spans="1:30" x14ac:dyDescent="0.25">
      <c r="A532" s="4"/>
      <c r="B532" s="4"/>
      <c r="E532" s="4"/>
      <c r="F532" s="4"/>
      <c r="G532" s="4"/>
      <c r="H532" s="4"/>
      <c r="I532" s="4"/>
      <c r="J532" s="4"/>
      <c r="K532" s="4"/>
      <c r="L532" s="4"/>
      <c r="M532" s="4"/>
      <c r="N532" s="4"/>
      <c r="O532" s="4"/>
      <c r="P532" s="4"/>
      <c r="T532" s="4"/>
      <c r="U532" s="4"/>
      <c r="V532" s="4"/>
      <c r="W532" s="4"/>
      <c r="X532" s="4"/>
      <c r="Y532" s="4"/>
      <c r="Z532" s="4"/>
      <c r="AA532" s="4"/>
      <c r="AB532" s="4"/>
      <c r="AC532" s="4"/>
      <c r="AD532" s="4"/>
    </row>
    <row r="533" ht="13.5" customHeight="1" spans="1:30" x14ac:dyDescent="0.25">
      <c r="A533" s="4"/>
      <c r="B533" s="4"/>
      <c r="E533" s="4"/>
      <c r="F533" s="4"/>
      <c r="G533" s="4"/>
      <c r="H533" s="4"/>
      <c r="I533" s="4"/>
      <c r="J533" s="4"/>
      <c r="K533" s="4"/>
      <c r="L533" s="4"/>
      <c r="M533" s="4"/>
      <c r="N533" s="4"/>
      <c r="O533" s="4"/>
      <c r="P533" s="4"/>
      <c r="T533" s="4"/>
      <c r="U533" s="4"/>
      <c r="V533" s="4"/>
      <c r="W533" s="4"/>
      <c r="X533" s="4"/>
      <c r="Y533" s="4"/>
      <c r="Z533" s="4"/>
      <c r="AA533" s="4"/>
      <c r="AB533" s="4"/>
      <c r="AC533" s="4"/>
      <c r="AD533" s="4"/>
    </row>
    <row r="534" ht="13.5" customHeight="1" spans="1:30" x14ac:dyDescent="0.25">
      <c r="A534" s="4"/>
      <c r="B534" s="4"/>
      <c r="E534" s="4"/>
      <c r="F534" s="4"/>
      <c r="G534" s="4"/>
      <c r="H534" s="4"/>
      <c r="I534" s="4"/>
      <c r="J534" s="4"/>
      <c r="K534" s="4"/>
      <c r="L534" s="4"/>
      <c r="M534" s="4"/>
      <c r="N534" s="4"/>
      <c r="O534" s="4"/>
      <c r="P534" s="4"/>
      <c r="T534" s="4"/>
      <c r="U534" s="4"/>
      <c r="V534" s="4"/>
      <c r="W534" s="4"/>
      <c r="X534" s="4"/>
      <c r="Y534" s="4"/>
      <c r="Z534" s="4"/>
      <c r="AA534" s="4"/>
      <c r="AB534" s="4"/>
      <c r="AC534" s="4"/>
      <c r="AD534" s="4"/>
    </row>
    <row r="535" ht="13.5" customHeight="1" spans="1:30" x14ac:dyDescent="0.25">
      <c r="A535" s="4"/>
      <c r="B535" s="4"/>
      <c r="E535" s="4"/>
      <c r="F535" s="4"/>
      <c r="G535" s="4"/>
      <c r="H535" s="4"/>
      <c r="I535" s="4"/>
      <c r="J535" s="4"/>
      <c r="K535" s="4"/>
      <c r="L535" s="4"/>
      <c r="M535" s="4"/>
      <c r="N535" s="4"/>
      <c r="O535" s="4"/>
      <c r="P535" s="4"/>
      <c r="T535" s="4"/>
      <c r="U535" s="4"/>
      <c r="V535" s="4"/>
      <c r="W535" s="4"/>
      <c r="X535" s="4"/>
      <c r="Y535" s="4"/>
      <c r="Z535" s="4"/>
      <c r="AA535" s="4"/>
      <c r="AB535" s="4"/>
      <c r="AC535" s="4"/>
      <c r="AD535" s="4"/>
    </row>
    <row r="536" ht="13.5" customHeight="1" spans="1:30" x14ac:dyDescent="0.25">
      <c r="A536" s="4"/>
      <c r="B536" s="4"/>
      <c r="E536" s="4"/>
      <c r="F536" s="4"/>
      <c r="G536" s="4"/>
      <c r="H536" s="4"/>
      <c r="I536" s="4"/>
      <c r="J536" s="4"/>
      <c r="K536" s="4"/>
      <c r="L536" s="4"/>
      <c r="M536" s="4"/>
      <c r="N536" s="4"/>
      <c r="O536" s="4"/>
      <c r="P536" s="4"/>
      <c r="T536" s="4"/>
      <c r="U536" s="4"/>
      <c r="V536" s="4"/>
      <c r="W536" s="4"/>
      <c r="X536" s="4"/>
      <c r="Y536" s="4"/>
      <c r="Z536" s="4"/>
      <c r="AA536" s="4"/>
      <c r="AB536" s="4"/>
      <c r="AC536" s="4"/>
      <c r="AD536" s="4"/>
    </row>
    <row r="537" ht="13.5" customHeight="1" spans="1:30" x14ac:dyDescent="0.25">
      <c r="A537" s="4"/>
      <c r="B537" s="4"/>
      <c r="E537" s="4"/>
      <c r="F537" s="4"/>
      <c r="G537" s="4"/>
      <c r="H537" s="4"/>
      <c r="I537" s="4"/>
      <c r="J537" s="4"/>
      <c r="K537" s="4"/>
      <c r="L537" s="4"/>
      <c r="M537" s="4"/>
      <c r="N537" s="4"/>
      <c r="O537" s="4"/>
      <c r="P537" s="4"/>
      <c r="T537" s="4"/>
      <c r="U537" s="4"/>
      <c r="V537" s="4"/>
      <c r="W537" s="4"/>
      <c r="X537" s="4"/>
      <c r="Y537" s="4"/>
      <c r="Z537" s="4"/>
      <c r="AA537" s="4"/>
      <c r="AB537" s="4"/>
      <c r="AC537" s="4"/>
      <c r="AD537" s="4"/>
    </row>
    <row r="538" ht="13.5" customHeight="1" spans="1:30" x14ac:dyDescent="0.25">
      <c r="A538" s="4"/>
      <c r="B538" s="4"/>
      <c r="E538" s="4"/>
      <c r="F538" s="4"/>
      <c r="G538" s="4"/>
      <c r="H538" s="4"/>
      <c r="I538" s="4"/>
      <c r="J538" s="4"/>
      <c r="K538" s="4"/>
      <c r="L538" s="4"/>
      <c r="M538" s="4"/>
      <c r="N538" s="4"/>
      <c r="O538" s="4"/>
      <c r="P538" s="4"/>
      <c r="T538" s="4"/>
      <c r="U538" s="4"/>
      <c r="V538" s="4"/>
      <c r="W538" s="4"/>
      <c r="X538" s="4"/>
      <c r="Y538" s="4"/>
      <c r="Z538" s="4"/>
      <c r="AA538" s="4"/>
      <c r="AB538" s="4"/>
      <c r="AC538" s="4"/>
      <c r="AD538" s="4"/>
    </row>
    <row r="539" ht="13.5" customHeight="1" spans="1:30" x14ac:dyDescent="0.25">
      <c r="A539" s="4"/>
      <c r="B539" s="4"/>
      <c r="E539" s="4"/>
      <c r="F539" s="4"/>
      <c r="G539" s="4"/>
      <c r="H539" s="4"/>
      <c r="I539" s="4"/>
      <c r="J539" s="4"/>
      <c r="K539" s="4"/>
      <c r="L539" s="4"/>
      <c r="M539" s="4"/>
      <c r="N539" s="4"/>
      <c r="O539" s="4"/>
      <c r="P539" s="4"/>
      <c r="T539" s="4"/>
      <c r="U539" s="4"/>
      <c r="V539" s="4"/>
      <c r="W539" s="4"/>
      <c r="X539" s="4"/>
      <c r="Y539" s="4"/>
      <c r="Z539" s="4"/>
      <c r="AA539" s="4"/>
      <c r="AB539" s="4"/>
      <c r="AC539" s="4"/>
      <c r="AD539" s="4"/>
    </row>
    <row r="540" ht="13.5" customHeight="1" spans="1:30" x14ac:dyDescent="0.25">
      <c r="A540" s="4"/>
      <c r="B540" s="4"/>
      <c r="E540" s="4"/>
      <c r="F540" s="4"/>
      <c r="G540" s="4"/>
      <c r="H540" s="4"/>
      <c r="I540" s="4"/>
      <c r="J540" s="4"/>
      <c r="K540" s="4"/>
      <c r="L540" s="4"/>
      <c r="M540" s="4"/>
      <c r="N540" s="4"/>
      <c r="O540" s="4"/>
      <c r="P540" s="4"/>
      <c r="T540" s="4"/>
      <c r="U540" s="4"/>
      <c r="V540" s="4"/>
      <c r="W540" s="4"/>
      <c r="X540" s="4"/>
      <c r="Y540" s="4"/>
      <c r="Z540" s="4"/>
      <c r="AA540" s="4"/>
      <c r="AB540" s="4"/>
      <c r="AC540" s="4"/>
      <c r="AD540" s="4"/>
    </row>
    <row r="541" ht="13.5" customHeight="1" spans="1:30" x14ac:dyDescent="0.25">
      <c r="A541" s="4"/>
      <c r="B541" s="4"/>
      <c r="E541" s="4"/>
      <c r="F541" s="4"/>
      <c r="G541" s="4"/>
      <c r="H541" s="4"/>
      <c r="I541" s="4"/>
      <c r="J541" s="4"/>
      <c r="K541" s="4"/>
      <c r="L541" s="4"/>
      <c r="M541" s="4"/>
      <c r="N541" s="4"/>
      <c r="O541" s="4"/>
      <c r="P541" s="4"/>
      <c r="T541" s="4"/>
      <c r="U541" s="4"/>
      <c r="V541" s="4"/>
      <c r="W541" s="4"/>
      <c r="X541" s="4"/>
      <c r="Y541" s="4"/>
      <c r="Z541" s="4"/>
      <c r="AA541" s="4"/>
      <c r="AB541" s="4"/>
      <c r="AC541" s="4"/>
      <c r="AD541" s="4"/>
    </row>
    <row r="542" ht="13.5" customHeight="1" spans="1:30" x14ac:dyDescent="0.25">
      <c r="A542" s="4"/>
      <c r="B542" s="4"/>
      <c r="E542" s="4"/>
      <c r="F542" s="4"/>
      <c r="G542" s="4"/>
      <c r="H542" s="4"/>
      <c r="I542" s="4"/>
      <c r="J542" s="4"/>
      <c r="K542" s="4"/>
      <c r="L542" s="4"/>
      <c r="M542" s="4"/>
      <c r="N542" s="4"/>
      <c r="O542" s="4"/>
      <c r="P542" s="4"/>
      <c r="T542" s="4"/>
      <c r="U542" s="4"/>
      <c r="V542" s="4"/>
      <c r="W542" s="4"/>
      <c r="X542" s="4"/>
      <c r="Y542" s="4"/>
      <c r="Z542" s="4"/>
      <c r="AA542" s="4"/>
      <c r="AB542" s="4"/>
      <c r="AC542" s="4"/>
      <c r="AD542" s="4"/>
    </row>
    <row r="543" ht="13.5" customHeight="1" spans="1:30" x14ac:dyDescent="0.25">
      <c r="A543" s="4"/>
      <c r="B543" s="4"/>
      <c r="E543" s="4"/>
      <c r="F543" s="4"/>
      <c r="G543" s="4"/>
      <c r="H543" s="4"/>
      <c r="I543" s="4"/>
      <c r="J543" s="4"/>
      <c r="K543" s="4"/>
      <c r="L543" s="4"/>
      <c r="M543" s="4"/>
      <c r="N543" s="4"/>
      <c r="O543" s="4"/>
      <c r="P543" s="4"/>
      <c r="T543" s="4"/>
      <c r="U543" s="4"/>
      <c r="V543" s="4"/>
      <c r="W543" s="4"/>
      <c r="X543" s="4"/>
      <c r="Y543" s="4"/>
      <c r="Z543" s="4"/>
      <c r="AA543" s="4"/>
      <c r="AB543" s="4"/>
      <c r="AC543" s="4"/>
      <c r="AD543" s="4"/>
    </row>
    <row r="544" ht="13.5" customHeight="1" spans="1:30" x14ac:dyDescent="0.25">
      <c r="A544" s="4"/>
      <c r="B544" s="4"/>
      <c r="E544" s="4"/>
      <c r="F544" s="4"/>
      <c r="G544" s="4"/>
      <c r="H544" s="4"/>
      <c r="I544" s="4"/>
      <c r="J544" s="4"/>
      <c r="K544" s="4"/>
      <c r="L544" s="4"/>
      <c r="M544" s="4"/>
      <c r="N544" s="4"/>
      <c r="O544" s="4"/>
      <c r="P544" s="4"/>
      <c r="T544" s="4"/>
      <c r="U544" s="4"/>
      <c r="V544" s="4"/>
      <c r="W544" s="4"/>
      <c r="X544" s="4"/>
      <c r="Y544" s="4"/>
      <c r="Z544" s="4"/>
      <c r="AA544" s="4"/>
      <c r="AB544" s="4"/>
      <c r="AC544" s="4"/>
      <c r="AD544" s="4"/>
    </row>
    <row r="545" ht="13.5" customHeight="1" spans="1:30" x14ac:dyDescent="0.25">
      <c r="A545" s="4"/>
      <c r="B545" s="4"/>
      <c r="E545" s="4"/>
      <c r="F545" s="4"/>
      <c r="G545" s="4"/>
      <c r="H545" s="4"/>
      <c r="I545" s="4"/>
      <c r="J545" s="4"/>
      <c r="K545" s="4"/>
      <c r="L545" s="4"/>
      <c r="M545" s="4"/>
      <c r="N545" s="4"/>
      <c r="O545" s="4"/>
      <c r="P545" s="4"/>
      <c r="T545" s="4"/>
      <c r="U545" s="4"/>
      <c r="V545" s="4"/>
      <c r="W545" s="4"/>
      <c r="X545" s="4"/>
      <c r="Y545" s="4"/>
      <c r="Z545" s="4"/>
      <c r="AA545" s="4"/>
      <c r="AB545" s="4"/>
      <c r="AC545" s="4"/>
      <c r="AD545" s="4"/>
    </row>
    <row r="546" ht="13.5" customHeight="1" spans="1:30" x14ac:dyDescent="0.25">
      <c r="A546" s="4"/>
      <c r="B546" s="4"/>
      <c r="E546" s="4"/>
      <c r="F546" s="4"/>
      <c r="G546" s="4"/>
      <c r="H546" s="4"/>
      <c r="I546" s="4"/>
      <c r="J546" s="4"/>
      <c r="K546" s="4"/>
      <c r="L546" s="4"/>
      <c r="M546" s="4"/>
      <c r="N546" s="4"/>
      <c r="O546" s="4"/>
      <c r="P546" s="4"/>
      <c r="T546" s="4"/>
      <c r="U546" s="4"/>
      <c r="V546" s="4"/>
      <c r="W546" s="4"/>
      <c r="X546" s="4"/>
      <c r="Y546" s="4"/>
      <c r="Z546" s="4"/>
      <c r="AA546" s="4"/>
      <c r="AB546" s="4"/>
      <c r="AC546" s="4"/>
      <c r="AD546" s="4"/>
    </row>
    <row r="547" ht="13.5" customHeight="1" spans="1:30" x14ac:dyDescent="0.25">
      <c r="A547" s="4"/>
      <c r="B547" s="4"/>
      <c r="E547" s="4"/>
      <c r="F547" s="4"/>
      <c r="G547" s="4"/>
      <c r="H547" s="4"/>
      <c r="I547" s="4"/>
      <c r="J547" s="4"/>
      <c r="K547" s="4"/>
      <c r="L547" s="4"/>
      <c r="M547" s="4"/>
      <c r="N547" s="4"/>
      <c r="O547" s="4"/>
      <c r="P547" s="4"/>
      <c r="T547" s="4"/>
      <c r="U547" s="4"/>
      <c r="V547" s="4"/>
      <c r="W547" s="4"/>
      <c r="X547" s="4"/>
      <c r="Y547" s="4"/>
      <c r="Z547" s="4"/>
      <c r="AA547" s="4"/>
      <c r="AB547" s="4"/>
      <c r="AC547" s="4"/>
      <c r="AD547" s="4"/>
    </row>
    <row r="548" ht="13.5" customHeight="1" spans="1:30" x14ac:dyDescent="0.25">
      <c r="A548" s="4"/>
      <c r="B548" s="4"/>
      <c r="E548" s="4"/>
      <c r="F548" s="4"/>
      <c r="G548" s="4"/>
      <c r="H548" s="4"/>
      <c r="I548" s="4"/>
      <c r="J548" s="4"/>
      <c r="K548" s="4"/>
      <c r="L548" s="4"/>
      <c r="M548" s="4"/>
      <c r="N548" s="4"/>
      <c r="O548" s="4"/>
      <c r="P548" s="4"/>
      <c r="T548" s="4"/>
      <c r="U548" s="4"/>
      <c r="V548" s="4"/>
      <c r="W548" s="4"/>
      <c r="X548" s="4"/>
      <c r="Y548" s="4"/>
      <c r="Z548" s="4"/>
      <c r="AA548" s="4"/>
      <c r="AB548" s="4"/>
      <c r="AC548" s="4"/>
      <c r="AD548" s="4"/>
    </row>
    <row r="549" ht="13.5" customHeight="1" spans="1:30" x14ac:dyDescent="0.25">
      <c r="A549" s="4"/>
      <c r="B549" s="4"/>
      <c r="E549" s="4"/>
      <c r="F549" s="4"/>
      <c r="G549" s="4"/>
      <c r="H549" s="4"/>
      <c r="I549" s="4"/>
      <c r="J549" s="4"/>
      <c r="K549" s="4"/>
      <c r="L549" s="4"/>
      <c r="M549" s="4"/>
      <c r="N549" s="4"/>
      <c r="O549" s="4"/>
      <c r="P549" s="4"/>
      <c r="T549" s="4"/>
      <c r="U549" s="4"/>
      <c r="V549" s="4"/>
      <c r="W549" s="4"/>
      <c r="X549" s="4"/>
      <c r="Y549" s="4"/>
      <c r="Z549" s="4"/>
      <c r="AA549" s="4"/>
      <c r="AB549" s="4"/>
      <c r="AC549" s="4"/>
      <c r="AD549" s="4"/>
    </row>
    <row r="550" ht="13.5" customHeight="1" spans="1:30" x14ac:dyDescent="0.25">
      <c r="A550" s="4"/>
      <c r="B550" s="4"/>
      <c r="E550" s="4"/>
      <c r="F550" s="4"/>
      <c r="G550" s="4"/>
      <c r="H550" s="4"/>
      <c r="I550" s="4"/>
      <c r="J550" s="4"/>
      <c r="K550" s="4"/>
      <c r="L550" s="4"/>
      <c r="M550" s="4"/>
      <c r="N550" s="4"/>
      <c r="O550" s="4"/>
      <c r="P550" s="4"/>
      <c r="T550" s="4"/>
      <c r="U550" s="4"/>
      <c r="V550" s="4"/>
      <c r="W550" s="4"/>
      <c r="X550" s="4"/>
      <c r="Y550" s="4"/>
      <c r="Z550" s="4"/>
      <c r="AA550" s="4"/>
      <c r="AB550" s="4"/>
      <c r="AC550" s="4"/>
      <c r="AD550" s="4"/>
    </row>
    <row r="551" ht="13.5" customHeight="1" spans="1:30" x14ac:dyDescent="0.25">
      <c r="A551" s="4"/>
      <c r="B551" s="4"/>
      <c r="E551" s="4"/>
      <c r="F551" s="4"/>
      <c r="G551" s="4"/>
      <c r="H551" s="4"/>
      <c r="I551" s="4"/>
      <c r="J551" s="4"/>
      <c r="K551" s="4"/>
      <c r="L551" s="4"/>
      <c r="M551" s="4"/>
      <c r="N551" s="4"/>
      <c r="O551" s="4"/>
      <c r="P551" s="4"/>
      <c r="T551" s="4"/>
      <c r="U551" s="4"/>
      <c r="V551" s="4"/>
      <c r="W551" s="4"/>
      <c r="X551" s="4"/>
      <c r="Y551" s="4"/>
      <c r="Z551" s="4"/>
      <c r="AA551" s="4"/>
      <c r="AB551" s="4"/>
      <c r="AC551" s="4"/>
      <c r="AD551" s="4"/>
    </row>
    <row r="552" ht="13.5" customHeight="1" spans="1:30" x14ac:dyDescent="0.25">
      <c r="A552" s="4"/>
      <c r="B552" s="4"/>
      <c r="E552" s="4"/>
      <c r="F552" s="4"/>
      <c r="G552" s="4"/>
      <c r="H552" s="4"/>
      <c r="I552" s="4"/>
      <c r="J552" s="4"/>
      <c r="K552" s="4"/>
      <c r="L552" s="4"/>
      <c r="M552" s="4"/>
      <c r="N552" s="4"/>
      <c r="O552" s="4"/>
      <c r="P552" s="4"/>
      <c r="T552" s="4"/>
      <c r="U552" s="4"/>
      <c r="V552" s="4"/>
      <c r="W552" s="4"/>
      <c r="X552" s="4"/>
      <c r="Y552" s="4"/>
      <c r="Z552" s="4"/>
      <c r="AA552" s="4"/>
      <c r="AB552" s="4"/>
      <c r="AC552" s="4"/>
      <c r="AD552" s="4"/>
    </row>
    <row r="553" ht="13.5" customHeight="1" spans="1:30" x14ac:dyDescent="0.25">
      <c r="A553" s="4"/>
      <c r="B553" s="4"/>
      <c r="E553" s="4"/>
      <c r="F553" s="4"/>
      <c r="G553" s="4"/>
      <c r="H553" s="4"/>
      <c r="I553" s="4"/>
      <c r="J553" s="4"/>
      <c r="K553" s="4"/>
      <c r="L553" s="4"/>
      <c r="M553" s="4"/>
      <c r="N553" s="4"/>
      <c r="O553" s="4"/>
      <c r="P553" s="4"/>
      <c r="T553" s="4"/>
      <c r="U553" s="4"/>
      <c r="V553" s="4"/>
      <c r="W553" s="4"/>
      <c r="X553" s="4"/>
      <c r="Y553" s="4"/>
      <c r="Z553" s="4"/>
      <c r="AA553" s="4"/>
      <c r="AB553" s="4"/>
      <c r="AC553" s="4"/>
      <c r="AD553" s="4"/>
    </row>
    <row r="554" ht="13.5" customHeight="1" spans="1:30" x14ac:dyDescent="0.25">
      <c r="A554" s="4"/>
      <c r="B554" s="4"/>
      <c r="E554" s="4"/>
      <c r="F554" s="4"/>
      <c r="G554" s="4"/>
      <c r="H554" s="4"/>
      <c r="I554" s="4"/>
      <c r="J554" s="4"/>
      <c r="K554" s="4"/>
      <c r="L554" s="4"/>
      <c r="M554" s="4"/>
      <c r="N554" s="4"/>
      <c r="O554" s="4"/>
      <c r="P554" s="4"/>
      <c r="T554" s="4"/>
      <c r="U554" s="4"/>
      <c r="V554" s="4"/>
      <c r="W554" s="4"/>
      <c r="X554" s="4"/>
      <c r="Y554" s="4"/>
      <c r="Z554" s="4"/>
      <c r="AA554" s="4"/>
      <c r="AB554" s="4"/>
      <c r="AC554" s="4"/>
      <c r="AD554" s="4"/>
    </row>
    <row r="555" ht="13.5" customHeight="1" spans="1:30" x14ac:dyDescent="0.25">
      <c r="A555" s="4"/>
      <c r="B555" s="4"/>
      <c r="E555" s="4"/>
      <c r="F555" s="4"/>
      <c r="G555" s="4"/>
      <c r="H555" s="4"/>
      <c r="I555" s="4"/>
      <c r="J555" s="4"/>
      <c r="K555" s="4"/>
      <c r="L555" s="4"/>
      <c r="M555" s="4"/>
      <c r="N555" s="4"/>
      <c r="O555" s="4"/>
      <c r="P555" s="4"/>
      <c r="T555" s="4"/>
      <c r="U555" s="4"/>
      <c r="V555" s="4"/>
      <c r="W555" s="4"/>
      <c r="X555" s="4"/>
      <c r="Y555" s="4"/>
      <c r="Z555" s="4"/>
      <c r="AA555" s="4"/>
      <c r="AB555" s="4"/>
      <c r="AC555" s="4"/>
      <c r="AD555" s="4"/>
    </row>
    <row r="556" ht="13.5" customHeight="1" spans="1:30" x14ac:dyDescent="0.25">
      <c r="A556" s="4"/>
      <c r="B556" s="4"/>
      <c r="E556" s="4"/>
      <c r="F556" s="4"/>
      <c r="G556" s="4"/>
      <c r="H556" s="4"/>
      <c r="I556" s="4"/>
      <c r="J556" s="4"/>
      <c r="K556" s="4"/>
      <c r="L556" s="4"/>
      <c r="M556" s="4"/>
      <c r="N556" s="4"/>
      <c r="O556" s="4"/>
      <c r="P556" s="4"/>
      <c r="T556" s="4"/>
      <c r="U556" s="4"/>
      <c r="V556" s="4"/>
      <c r="W556" s="4"/>
      <c r="X556" s="4"/>
      <c r="Y556" s="4"/>
      <c r="Z556" s="4"/>
      <c r="AA556" s="4"/>
      <c r="AB556" s="4"/>
      <c r="AC556" s="4"/>
      <c r="AD556" s="4"/>
    </row>
    <row r="557" ht="13.5" customHeight="1" spans="1:30" x14ac:dyDescent="0.25">
      <c r="A557" s="4"/>
      <c r="B557" s="4"/>
      <c r="E557" s="4"/>
      <c r="F557" s="4"/>
      <c r="G557" s="4"/>
      <c r="H557" s="4"/>
      <c r="I557" s="4"/>
      <c r="J557" s="4"/>
      <c r="K557" s="4"/>
      <c r="L557" s="4"/>
      <c r="M557" s="4"/>
      <c r="N557" s="4"/>
      <c r="O557" s="4"/>
      <c r="P557" s="4"/>
      <c r="T557" s="4"/>
      <c r="U557" s="4"/>
      <c r="V557" s="4"/>
      <c r="W557" s="4"/>
      <c r="X557" s="4"/>
      <c r="Y557" s="4"/>
      <c r="Z557" s="4"/>
      <c r="AA557" s="4"/>
      <c r="AB557" s="4"/>
      <c r="AC557" s="4"/>
      <c r="AD557" s="4"/>
    </row>
    <row r="558" ht="13.5" customHeight="1" spans="1:30" x14ac:dyDescent="0.25">
      <c r="A558" s="4"/>
      <c r="B558" s="4"/>
      <c r="E558" s="4"/>
      <c r="F558" s="4"/>
      <c r="G558" s="4"/>
      <c r="H558" s="4"/>
      <c r="I558" s="4"/>
      <c r="J558" s="4"/>
      <c r="K558" s="4"/>
      <c r="L558" s="4"/>
      <c r="M558" s="4"/>
      <c r="N558" s="4"/>
      <c r="O558" s="4"/>
      <c r="P558" s="4"/>
      <c r="T558" s="4"/>
      <c r="U558" s="4"/>
      <c r="V558" s="4"/>
      <c r="W558" s="4"/>
      <c r="X558" s="4"/>
      <c r="Y558" s="4"/>
      <c r="Z558" s="4"/>
      <c r="AA558" s="4"/>
      <c r="AB558" s="4"/>
      <c r="AC558" s="4"/>
      <c r="AD558" s="4"/>
    </row>
    <row r="559" ht="13.5" customHeight="1" spans="1:30" x14ac:dyDescent="0.25">
      <c r="A559" s="4"/>
      <c r="B559" s="4"/>
      <c r="E559" s="4"/>
      <c r="F559" s="4"/>
      <c r="G559" s="4"/>
      <c r="H559" s="4"/>
      <c r="I559" s="4"/>
      <c r="J559" s="4"/>
      <c r="K559" s="4"/>
      <c r="L559" s="4"/>
      <c r="M559" s="4"/>
      <c r="N559" s="4"/>
      <c r="O559" s="4"/>
      <c r="P559" s="4"/>
      <c r="T559" s="4"/>
      <c r="U559" s="4"/>
      <c r="V559" s="4"/>
      <c r="W559" s="4"/>
      <c r="X559" s="4"/>
      <c r="Y559" s="4"/>
      <c r="Z559" s="4"/>
      <c r="AA559" s="4"/>
      <c r="AB559" s="4"/>
      <c r="AC559" s="4"/>
      <c r="AD559" s="4"/>
    </row>
    <row r="560" ht="13.5" customHeight="1" spans="1:30" x14ac:dyDescent="0.25">
      <c r="A560" s="4"/>
      <c r="B560" s="4"/>
      <c r="E560" s="4"/>
      <c r="F560" s="4"/>
      <c r="G560" s="4"/>
      <c r="H560" s="4"/>
      <c r="I560" s="4"/>
      <c r="J560" s="4"/>
      <c r="K560" s="4"/>
      <c r="L560" s="4"/>
      <c r="M560" s="4"/>
      <c r="N560" s="4"/>
      <c r="O560" s="4"/>
      <c r="P560" s="4"/>
      <c r="T560" s="4"/>
      <c r="U560" s="4"/>
      <c r="V560" s="4"/>
      <c r="W560" s="4"/>
      <c r="X560" s="4"/>
      <c r="Y560" s="4"/>
      <c r="Z560" s="4"/>
      <c r="AA560" s="4"/>
      <c r="AB560" s="4"/>
      <c r="AC560" s="4"/>
      <c r="AD560" s="4"/>
    </row>
    <row r="561" ht="13.5" customHeight="1" spans="1:30" x14ac:dyDescent="0.25">
      <c r="A561" s="4"/>
      <c r="B561" s="4"/>
      <c r="E561" s="4"/>
      <c r="F561" s="4"/>
      <c r="G561" s="4"/>
      <c r="H561" s="4"/>
      <c r="I561" s="4"/>
      <c r="J561" s="4"/>
      <c r="K561" s="4"/>
      <c r="L561" s="4"/>
      <c r="M561" s="4"/>
      <c r="N561" s="4"/>
      <c r="O561" s="4"/>
      <c r="P561" s="4"/>
      <c r="T561" s="4"/>
      <c r="U561" s="4"/>
      <c r="V561" s="4"/>
      <c r="W561" s="4"/>
      <c r="X561" s="4"/>
      <c r="Y561" s="4"/>
      <c r="Z561" s="4"/>
      <c r="AA561" s="4"/>
      <c r="AB561" s="4"/>
      <c r="AC561" s="4"/>
      <c r="AD561" s="4"/>
    </row>
    <row r="562" ht="13.5" customHeight="1" spans="1:30" x14ac:dyDescent="0.25">
      <c r="A562" s="4"/>
      <c r="B562" s="4"/>
      <c r="E562" s="4"/>
      <c r="F562" s="4"/>
      <c r="G562" s="4"/>
      <c r="H562" s="4"/>
      <c r="I562" s="4"/>
      <c r="J562" s="4"/>
      <c r="K562" s="4"/>
      <c r="L562" s="4"/>
      <c r="M562" s="4"/>
      <c r="N562" s="4"/>
      <c r="O562" s="4"/>
      <c r="P562" s="4"/>
      <c r="T562" s="4"/>
      <c r="U562" s="4"/>
      <c r="V562" s="4"/>
      <c r="W562" s="4"/>
      <c r="X562" s="4"/>
      <c r="Y562" s="4"/>
      <c r="Z562" s="4"/>
      <c r="AA562" s="4"/>
      <c r="AB562" s="4"/>
      <c r="AC562" s="4"/>
      <c r="AD562" s="4"/>
    </row>
    <row r="563" ht="13.5" customHeight="1" spans="1:30" x14ac:dyDescent="0.25">
      <c r="A563" s="4"/>
      <c r="B563" s="4"/>
      <c r="E563" s="4"/>
      <c r="F563" s="4"/>
      <c r="G563" s="4"/>
      <c r="H563" s="4"/>
      <c r="I563" s="4"/>
      <c r="J563" s="4"/>
      <c r="K563" s="4"/>
      <c r="L563" s="4"/>
      <c r="M563" s="4"/>
      <c r="N563" s="4"/>
      <c r="O563" s="4"/>
      <c r="P563" s="4"/>
      <c r="T563" s="4"/>
      <c r="U563" s="4"/>
      <c r="V563" s="4"/>
      <c r="W563" s="4"/>
      <c r="X563" s="4"/>
      <c r="Y563" s="4"/>
      <c r="Z563" s="4"/>
      <c r="AA563" s="4"/>
      <c r="AB563" s="4"/>
      <c r="AC563" s="4"/>
      <c r="AD563" s="4"/>
    </row>
    <row r="564" ht="13.5" customHeight="1" spans="1:30" x14ac:dyDescent="0.25">
      <c r="A564" s="4"/>
      <c r="B564" s="4"/>
      <c r="E564" s="4"/>
      <c r="F564" s="4"/>
      <c r="G564" s="4"/>
      <c r="H564" s="4"/>
      <c r="I564" s="4"/>
      <c r="J564" s="4"/>
      <c r="K564" s="4"/>
      <c r="L564" s="4"/>
      <c r="M564" s="4"/>
      <c r="N564" s="4"/>
      <c r="O564" s="4"/>
      <c r="P564" s="4"/>
      <c r="T564" s="4"/>
      <c r="U564" s="4"/>
      <c r="V564" s="4"/>
      <c r="W564" s="4"/>
      <c r="X564" s="4"/>
      <c r="Y564" s="4"/>
      <c r="Z564" s="4"/>
      <c r="AA564" s="4"/>
      <c r="AB564" s="4"/>
      <c r="AC564" s="4"/>
      <c r="AD564" s="4"/>
    </row>
    <row r="565" ht="13.5" customHeight="1" spans="1:30" x14ac:dyDescent="0.25">
      <c r="A565" s="4"/>
      <c r="B565" s="4"/>
      <c r="E565" s="4"/>
      <c r="F565" s="4"/>
      <c r="G565" s="4"/>
      <c r="H565" s="4"/>
      <c r="I565" s="4"/>
      <c r="J565" s="4"/>
      <c r="K565" s="4"/>
      <c r="L565" s="4"/>
      <c r="M565" s="4"/>
      <c r="N565" s="4"/>
      <c r="O565" s="4"/>
      <c r="P565" s="4"/>
      <c r="T565" s="4"/>
      <c r="U565" s="4"/>
      <c r="V565" s="4"/>
      <c r="W565" s="4"/>
      <c r="X565" s="4"/>
      <c r="Y565" s="4"/>
      <c r="Z565" s="4"/>
      <c r="AA565" s="4"/>
      <c r="AB565" s="4"/>
      <c r="AC565" s="4"/>
      <c r="AD565" s="4"/>
    </row>
    <row r="566" ht="13.5" customHeight="1" spans="1:30" x14ac:dyDescent="0.25">
      <c r="A566" s="4"/>
      <c r="B566" s="4"/>
      <c r="E566" s="4"/>
      <c r="F566" s="4"/>
      <c r="G566" s="4"/>
      <c r="H566" s="4"/>
      <c r="I566" s="4"/>
      <c r="J566" s="4"/>
      <c r="K566" s="4"/>
      <c r="L566" s="4"/>
      <c r="M566" s="4"/>
      <c r="N566" s="4"/>
      <c r="O566" s="4"/>
      <c r="P566" s="4"/>
      <c r="T566" s="4"/>
      <c r="U566" s="4"/>
      <c r="V566" s="4"/>
      <c r="W566" s="4"/>
      <c r="X566" s="4"/>
      <c r="Y566" s="4"/>
      <c r="Z566" s="4"/>
      <c r="AA566" s="4"/>
      <c r="AB566" s="4"/>
      <c r="AC566" s="4"/>
      <c r="AD566" s="4"/>
    </row>
    <row r="567" ht="13.5" customHeight="1" spans="1:30" x14ac:dyDescent="0.25">
      <c r="A567" s="4"/>
      <c r="B567" s="4"/>
      <c r="E567" s="4"/>
      <c r="F567" s="4"/>
      <c r="G567" s="4"/>
      <c r="H567" s="4"/>
      <c r="I567" s="4"/>
      <c r="J567" s="4"/>
      <c r="K567" s="4"/>
      <c r="L567" s="4"/>
      <c r="M567" s="4"/>
      <c r="N567" s="4"/>
      <c r="O567" s="4"/>
      <c r="P567" s="4"/>
      <c r="T567" s="4"/>
      <c r="U567" s="4"/>
      <c r="V567" s="4"/>
      <c r="W567" s="4"/>
      <c r="X567" s="4"/>
      <c r="Y567" s="4"/>
      <c r="Z567" s="4"/>
      <c r="AA567" s="4"/>
      <c r="AB567" s="4"/>
      <c r="AC567" s="4"/>
      <c r="AD567" s="4"/>
    </row>
    <row r="568" ht="13.5" customHeight="1" spans="1:30" x14ac:dyDescent="0.25">
      <c r="A568" s="4"/>
      <c r="B568" s="4"/>
      <c r="E568" s="4"/>
      <c r="F568" s="4"/>
      <c r="G568" s="4"/>
      <c r="H568" s="4"/>
      <c r="I568" s="4"/>
      <c r="J568" s="4"/>
      <c r="K568" s="4"/>
      <c r="L568" s="4"/>
      <c r="M568" s="4"/>
      <c r="N568" s="4"/>
      <c r="O568" s="4"/>
      <c r="P568" s="4"/>
      <c r="T568" s="4"/>
      <c r="U568" s="4"/>
      <c r="V568" s="4"/>
      <c r="W568" s="4"/>
      <c r="X568" s="4"/>
      <c r="Y568" s="4"/>
      <c r="Z568" s="4"/>
      <c r="AA568" s="4"/>
      <c r="AB568" s="4"/>
      <c r="AC568" s="4"/>
      <c r="AD568" s="4"/>
    </row>
    <row r="569" ht="13.5" customHeight="1" spans="1:30" x14ac:dyDescent="0.25">
      <c r="A569" s="4"/>
      <c r="B569" s="4"/>
      <c r="E569" s="4"/>
      <c r="F569" s="4"/>
      <c r="G569" s="4"/>
      <c r="H569" s="4"/>
      <c r="I569" s="4"/>
      <c r="J569" s="4"/>
      <c r="K569" s="4"/>
      <c r="L569" s="4"/>
      <c r="M569" s="4"/>
      <c r="N569" s="4"/>
      <c r="O569" s="4"/>
      <c r="P569" s="4"/>
      <c r="T569" s="4"/>
      <c r="U569" s="4"/>
      <c r="V569" s="4"/>
      <c r="W569" s="4"/>
      <c r="X569" s="4"/>
      <c r="Y569" s="4"/>
      <c r="Z569" s="4"/>
      <c r="AA569" s="4"/>
      <c r="AB569" s="4"/>
      <c r="AC569" s="4"/>
      <c r="AD569" s="4"/>
    </row>
    <row r="570" ht="13.5" customHeight="1" spans="1:30" x14ac:dyDescent="0.25">
      <c r="A570" s="4"/>
      <c r="B570" s="4"/>
      <c r="E570" s="4"/>
      <c r="F570" s="4"/>
      <c r="G570" s="4"/>
      <c r="H570" s="4"/>
      <c r="I570" s="4"/>
      <c r="J570" s="4"/>
      <c r="K570" s="4"/>
      <c r="L570" s="4"/>
      <c r="M570" s="4"/>
      <c r="N570" s="4"/>
      <c r="O570" s="4"/>
      <c r="P570" s="4"/>
      <c r="T570" s="4"/>
      <c r="U570" s="4"/>
      <c r="V570" s="4"/>
      <c r="W570" s="4"/>
      <c r="X570" s="4"/>
      <c r="Y570" s="4"/>
      <c r="Z570" s="4"/>
      <c r="AA570" s="4"/>
      <c r="AB570" s="4"/>
      <c r="AC570" s="4"/>
      <c r="AD570" s="4"/>
    </row>
    <row r="571" ht="13.5" customHeight="1" spans="1:30" x14ac:dyDescent="0.25">
      <c r="A571" s="4"/>
      <c r="B571" s="4"/>
      <c r="E571" s="4"/>
      <c r="F571" s="4"/>
      <c r="G571" s="4"/>
      <c r="H571" s="4"/>
      <c r="I571" s="4"/>
      <c r="J571" s="4"/>
      <c r="K571" s="4"/>
      <c r="L571" s="4"/>
      <c r="M571" s="4"/>
      <c r="N571" s="4"/>
      <c r="O571" s="4"/>
      <c r="P571" s="4"/>
      <c r="T571" s="4"/>
      <c r="U571" s="4"/>
      <c r="V571" s="4"/>
      <c r="W571" s="4"/>
      <c r="X571" s="4"/>
      <c r="Y571" s="4"/>
      <c r="Z571" s="4"/>
      <c r="AA571" s="4"/>
      <c r="AB571" s="4"/>
      <c r="AC571" s="4"/>
      <c r="AD571" s="4"/>
    </row>
    <row r="572" ht="13.5" customHeight="1" spans="1:30" x14ac:dyDescent="0.25">
      <c r="A572" s="4"/>
      <c r="B572" s="4"/>
      <c r="E572" s="4"/>
      <c r="F572" s="4"/>
      <c r="G572" s="4"/>
      <c r="H572" s="4"/>
      <c r="I572" s="4"/>
      <c r="J572" s="4"/>
      <c r="K572" s="4"/>
      <c r="L572" s="4"/>
      <c r="M572" s="4"/>
      <c r="N572" s="4"/>
      <c r="O572" s="4"/>
      <c r="P572" s="4"/>
      <c r="T572" s="4"/>
      <c r="U572" s="4"/>
      <c r="V572" s="4"/>
      <c r="W572" s="4"/>
      <c r="X572" s="4"/>
      <c r="Y572" s="4"/>
      <c r="Z572" s="4"/>
      <c r="AA572" s="4"/>
      <c r="AB572" s="4"/>
      <c r="AC572" s="4"/>
      <c r="AD572" s="4"/>
    </row>
    <row r="573" ht="13.5" customHeight="1" spans="1:30" x14ac:dyDescent="0.25">
      <c r="A573" s="4"/>
      <c r="B573" s="4"/>
      <c r="E573" s="4"/>
      <c r="F573" s="4"/>
      <c r="G573" s="4"/>
      <c r="H573" s="4"/>
      <c r="I573" s="4"/>
      <c r="J573" s="4"/>
      <c r="K573" s="4"/>
      <c r="L573" s="4"/>
      <c r="M573" s="4"/>
      <c r="N573" s="4"/>
      <c r="O573" s="4"/>
      <c r="P573" s="4"/>
      <c r="T573" s="4"/>
      <c r="U573" s="4"/>
      <c r="V573" s="4"/>
      <c r="W573" s="4"/>
      <c r="X573" s="4"/>
      <c r="Y573" s="4"/>
      <c r="Z573" s="4"/>
      <c r="AA573" s="4"/>
      <c r="AB573" s="4"/>
      <c r="AC573" s="4"/>
      <c r="AD573" s="4"/>
    </row>
    <row r="574" ht="13.5" customHeight="1" spans="1:30" x14ac:dyDescent="0.25">
      <c r="A574" s="4"/>
      <c r="B574" s="4"/>
      <c r="E574" s="4"/>
      <c r="F574" s="4"/>
      <c r="G574" s="4"/>
      <c r="H574" s="4"/>
      <c r="I574" s="4"/>
      <c r="J574" s="4"/>
      <c r="K574" s="4"/>
      <c r="L574" s="4"/>
      <c r="M574" s="4"/>
      <c r="N574" s="4"/>
      <c r="O574" s="4"/>
      <c r="P574" s="4"/>
      <c r="T574" s="4"/>
      <c r="U574" s="4"/>
      <c r="V574" s="4"/>
      <c r="W574" s="4"/>
      <c r="X574" s="4"/>
      <c r="Y574" s="4"/>
      <c r="Z574" s="4"/>
      <c r="AA574" s="4"/>
      <c r="AB574" s="4"/>
      <c r="AC574" s="4"/>
      <c r="AD574" s="4"/>
    </row>
    <row r="575" ht="13.5" customHeight="1" spans="1:30" x14ac:dyDescent="0.25">
      <c r="A575" s="4"/>
      <c r="B575" s="4"/>
      <c r="E575" s="4"/>
      <c r="F575" s="4"/>
      <c r="G575" s="4"/>
      <c r="H575" s="4"/>
      <c r="I575" s="4"/>
      <c r="J575" s="4"/>
      <c r="K575" s="4"/>
      <c r="L575" s="4"/>
      <c r="M575" s="4"/>
      <c r="N575" s="4"/>
      <c r="O575" s="4"/>
      <c r="P575" s="4"/>
      <c r="T575" s="4"/>
      <c r="U575" s="4"/>
      <c r="V575" s="4"/>
      <c r="W575" s="4"/>
      <c r="X575" s="4"/>
      <c r="Y575" s="4"/>
      <c r="Z575" s="4"/>
      <c r="AA575" s="4"/>
      <c r="AB575" s="4"/>
      <c r="AC575" s="4"/>
      <c r="AD575" s="4"/>
    </row>
    <row r="576" ht="13.5" customHeight="1" spans="1:30" x14ac:dyDescent="0.25">
      <c r="A576" s="4"/>
      <c r="B576" s="4"/>
      <c r="E576" s="4"/>
      <c r="F576" s="4"/>
      <c r="G576" s="4"/>
      <c r="H576" s="4"/>
      <c r="I576" s="4"/>
      <c r="J576" s="4"/>
      <c r="K576" s="4"/>
      <c r="L576" s="4"/>
      <c r="M576" s="4"/>
      <c r="N576" s="4"/>
      <c r="O576" s="4"/>
      <c r="P576" s="4"/>
      <c r="T576" s="4"/>
      <c r="U576" s="4"/>
      <c r="V576" s="4"/>
      <c r="W576" s="4"/>
      <c r="X576" s="4"/>
      <c r="Y576" s="4"/>
      <c r="Z576" s="4"/>
      <c r="AA576" s="4"/>
      <c r="AB576" s="4"/>
      <c r="AC576" s="4"/>
      <c r="AD576" s="4"/>
    </row>
    <row r="577" ht="13.5" customHeight="1" spans="1:30" x14ac:dyDescent="0.25">
      <c r="A577" s="4"/>
      <c r="B577" s="4"/>
      <c r="E577" s="4"/>
      <c r="F577" s="4"/>
      <c r="G577" s="4"/>
      <c r="H577" s="4"/>
      <c r="I577" s="4"/>
      <c r="J577" s="4"/>
      <c r="K577" s="4"/>
      <c r="L577" s="4"/>
      <c r="M577" s="4"/>
      <c r="N577" s="4"/>
      <c r="O577" s="4"/>
      <c r="P577" s="4"/>
      <c r="T577" s="4"/>
      <c r="U577" s="4"/>
      <c r="V577" s="4"/>
      <c r="W577" s="4"/>
      <c r="X577" s="4"/>
      <c r="Y577" s="4"/>
      <c r="Z577" s="4"/>
      <c r="AA577" s="4"/>
      <c r="AB577" s="4"/>
      <c r="AC577" s="4"/>
      <c r="AD577" s="4"/>
    </row>
    <row r="578" ht="13.5" customHeight="1" spans="1:30" x14ac:dyDescent="0.25">
      <c r="A578" s="4"/>
      <c r="B578" s="4"/>
      <c r="E578" s="4"/>
      <c r="F578" s="4"/>
      <c r="G578" s="4"/>
      <c r="H578" s="4"/>
      <c r="I578" s="4"/>
      <c r="J578" s="4"/>
      <c r="K578" s="4"/>
      <c r="L578" s="4"/>
      <c r="M578" s="4"/>
      <c r="N578" s="4"/>
      <c r="O578" s="4"/>
      <c r="P578" s="4"/>
      <c r="T578" s="4"/>
      <c r="U578" s="4"/>
      <c r="V578" s="4"/>
      <c r="W578" s="4"/>
      <c r="X578" s="4"/>
      <c r="Y578" s="4"/>
      <c r="Z578" s="4"/>
      <c r="AA578" s="4"/>
      <c r="AB578" s="4"/>
      <c r="AC578" s="4"/>
      <c r="AD578" s="4"/>
    </row>
    <row r="579" ht="13.5" customHeight="1" spans="1:30" x14ac:dyDescent="0.25">
      <c r="A579" s="4"/>
      <c r="B579" s="4"/>
      <c r="E579" s="4"/>
      <c r="F579" s="4"/>
      <c r="G579" s="4"/>
      <c r="H579" s="4"/>
      <c r="I579" s="4"/>
      <c r="J579" s="4"/>
      <c r="K579" s="4"/>
      <c r="L579" s="4"/>
      <c r="M579" s="4"/>
      <c r="N579" s="4"/>
      <c r="O579" s="4"/>
      <c r="P579" s="4"/>
      <c r="T579" s="4"/>
      <c r="U579" s="4"/>
      <c r="V579" s="4"/>
      <c r="W579" s="4"/>
      <c r="X579" s="4"/>
      <c r="Y579" s="4"/>
      <c r="Z579" s="4"/>
      <c r="AA579" s="4"/>
      <c r="AB579" s="4"/>
      <c r="AC579" s="4"/>
      <c r="AD579" s="4"/>
    </row>
    <row r="580" ht="13.5" customHeight="1" spans="1:30" x14ac:dyDescent="0.25">
      <c r="A580" s="4"/>
      <c r="B580" s="4"/>
      <c r="E580" s="4"/>
      <c r="F580" s="4"/>
      <c r="G580" s="4"/>
      <c r="H580" s="4"/>
      <c r="I580" s="4"/>
      <c r="J580" s="4"/>
      <c r="K580" s="4"/>
      <c r="L580" s="4"/>
      <c r="M580" s="4"/>
      <c r="N580" s="4"/>
      <c r="O580" s="4"/>
      <c r="P580" s="4"/>
      <c r="T580" s="4"/>
      <c r="U580" s="4"/>
      <c r="V580" s="4"/>
      <c r="W580" s="4"/>
      <c r="X580" s="4"/>
      <c r="Y580" s="4"/>
      <c r="Z580" s="4"/>
      <c r="AA580" s="4"/>
      <c r="AB580" s="4"/>
      <c r="AC580" s="4"/>
      <c r="AD580" s="4"/>
    </row>
    <row r="581" ht="13.5" customHeight="1" spans="1:30" x14ac:dyDescent="0.25">
      <c r="A581" s="4"/>
      <c r="B581" s="4"/>
      <c r="E581" s="4"/>
      <c r="F581" s="4"/>
      <c r="G581" s="4"/>
      <c r="H581" s="4"/>
      <c r="I581" s="4"/>
      <c r="J581" s="4"/>
      <c r="K581" s="4"/>
      <c r="L581" s="4"/>
      <c r="M581" s="4"/>
      <c r="N581" s="4"/>
      <c r="O581" s="4"/>
      <c r="P581" s="4"/>
      <c r="T581" s="4"/>
      <c r="U581" s="4"/>
      <c r="V581" s="4"/>
      <c r="W581" s="4"/>
      <c r="X581" s="4"/>
      <c r="Y581" s="4"/>
      <c r="Z581" s="4"/>
      <c r="AA581" s="4"/>
      <c r="AB581" s="4"/>
      <c r="AC581" s="4"/>
      <c r="AD581" s="4"/>
    </row>
    <row r="582" ht="13.5" customHeight="1" spans="1:30" x14ac:dyDescent="0.25">
      <c r="A582" s="4"/>
      <c r="B582" s="4"/>
      <c r="E582" s="4"/>
      <c r="F582" s="4"/>
      <c r="G582" s="4"/>
      <c r="H582" s="4"/>
      <c r="I582" s="4"/>
      <c r="J582" s="4"/>
      <c r="K582" s="4"/>
      <c r="L582" s="4"/>
      <c r="M582" s="4"/>
      <c r="N582" s="4"/>
      <c r="O582" s="4"/>
      <c r="P582" s="4"/>
      <c r="T582" s="4"/>
      <c r="U582" s="4"/>
      <c r="V582" s="4"/>
      <c r="W582" s="4"/>
      <c r="X582" s="4"/>
      <c r="Y582" s="4"/>
      <c r="Z582" s="4"/>
      <c r="AA582" s="4"/>
      <c r="AB582" s="4"/>
      <c r="AC582" s="4"/>
      <c r="AD582" s="4"/>
    </row>
    <row r="583" ht="13.5" customHeight="1" spans="1:30" x14ac:dyDescent="0.25">
      <c r="A583" s="4"/>
      <c r="B583" s="4"/>
      <c r="E583" s="4"/>
      <c r="F583" s="4"/>
      <c r="G583" s="4"/>
      <c r="H583" s="4"/>
      <c r="I583" s="4"/>
      <c r="J583" s="4"/>
      <c r="K583" s="4"/>
      <c r="L583" s="4"/>
      <c r="M583" s="4"/>
      <c r="N583" s="4"/>
      <c r="O583" s="4"/>
      <c r="P583" s="4"/>
      <c r="T583" s="4"/>
      <c r="U583" s="4"/>
      <c r="V583" s="4"/>
      <c r="W583" s="4"/>
      <c r="X583" s="4"/>
      <c r="Y583" s="4"/>
      <c r="Z583" s="4"/>
      <c r="AA583" s="4"/>
      <c r="AB583" s="4"/>
      <c r="AC583" s="4"/>
      <c r="AD583" s="4"/>
    </row>
    <row r="584" ht="13.5" customHeight="1" spans="1:30" x14ac:dyDescent="0.25">
      <c r="A584" s="4"/>
      <c r="B584" s="4"/>
      <c r="E584" s="4"/>
      <c r="F584" s="4"/>
      <c r="G584" s="4"/>
      <c r="H584" s="4"/>
      <c r="I584" s="4"/>
      <c r="J584" s="4"/>
      <c r="K584" s="4"/>
      <c r="L584" s="4"/>
      <c r="M584" s="4"/>
      <c r="N584" s="4"/>
      <c r="O584" s="4"/>
      <c r="P584" s="4"/>
      <c r="T584" s="4"/>
      <c r="U584" s="4"/>
      <c r="V584" s="4"/>
      <c r="W584" s="4"/>
      <c r="X584" s="4"/>
      <c r="Y584" s="4"/>
      <c r="Z584" s="4"/>
      <c r="AA584" s="4"/>
      <c r="AB584" s="4"/>
      <c r="AC584" s="4"/>
      <c r="AD584" s="4"/>
    </row>
    <row r="585" ht="13.5" customHeight="1" spans="1:30" x14ac:dyDescent="0.25">
      <c r="A585" s="4"/>
      <c r="B585" s="4"/>
      <c r="E585" s="4"/>
      <c r="F585" s="4"/>
      <c r="G585" s="4"/>
      <c r="H585" s="4"/>
      <c r="I585" s="4"/>
      <c r="J585" s="4"/>
      <c r="K585" s="4"/>
      <c r="L585" s="4"/>
      <c r="M585" s="4"/>
      <c r="N585" s="4"/>
      <c r="O585" s="4"/>
      <c r="P585" s="4"/>
      <c r="T585" s="4"/>
      <c r="U585" s="4"/>
      <c r="V585" s="4"/>
      <c r="W585" s="4"/>
      <c r="X585" s="4"/>
      <c r="Y585" s="4"/>
      <c r="Z585" s="4"/>
      <c r="AA585" s="4"/>
      <c r="AB585" s="4"/>
      <c r="AC585" s="4"/>
      <c r="AD585" s="4"/>
    </row>
    <row r="586" ht="13.5" customHeight="1" spans="1:30" x14ac:dyDescent="0.25">
      <c r="A586" s="4"/>
      <c r="B586" s="4"/>
      <c r="E586" s="4"/>
      <c r="F586" s="4"/>
      <c r="G586" s="4"/>
      <c r="H586" s="4"/>
      <c r="I586" s="4"/>
      <c r="J586" s="4"/>
      <c r="K586" s="4"/>
      <c r="L586" s="4"/>
      <c r="M586" s="4"/>
      <c r="N586" s="4"/>
      <c r="O586" s="4"/>
      <c r="P586" s="4"/>
      <c r="T586" s="4"/>
      <c r="U586" s="4"/>
      <c r="V586" s="4"/>
      <c r="W586" s="4"/>
      <c r="X586" s="4"/>
      <c r="Y586" s="4"/>
      <c r="Z586" s="4"/>
      <c r="AA586" s="4"/>
      <c r="AB586" s="4"/>
      <c r="AC586" s="4"/>
      <c r="AD586" s="4"/>
    </row>
    <row r="587" ht="13.5" customHeight="1" spans="1:30" x14ac:dyDescent="0.25">
      <c r="A587" s="4"/>
      <c r="B587" s="4"/>
      <c r="E587" s="4"/>
      <c r="F587" s="4"/>
      <c r="G587" s="4"/>
      <c r="H587" s="4"/>
      <c r="I587" s="4"/>
      <c r="J587" s="4"/>
      <c r="K587" s="4"/>
      <c r="L587" s="4"/>
      <c r="M587" s="4"/>
      <c r="N587" s="4"/>
      <c r="O587" s="4"/>
      <c r="P587" s="4"/>
      <c r="T587" s="4"/>
      <c r="U587" s="4"/>
      <c r="V587" s="4"/>
      <c r="W587" s="4"/>
      <c r="X587" s="4"/>
      <c r="Y587" s="4"/>
      <c r="Z587" s="4"/>
      <c r="AA587" s="4"/>
      <c r="AB587" s="4"/>
      <c r="AC587" s="4"/>
      <c r="AD587" s="4"/>
    </row>
    <row r="588" ht="13.5" customHeight="1" spans="1:30" x14ac:dyDescent="0.25">
      <c r="A588" s="4"/>
      <c r="B588" s="4"/>
      <c r="E588" s="4"/>
      <c r="F588" s="4"/>
      <c r="G588" s="4"/>
      <c r="H588" s="4"/>
      <c r="I588" s="4"/>
      <c r="J588" s="4"/>
      <c r="K588" s="4"/>
      <c r="L588" s="4"/>
      <c r="M588" s="4"/>
      <c r="N588" s="4"/>
      <c r="O588" s="4"/>
      <c r="P588" s="4"/>
      <c r="T588" s="4"/>
      <c r="U588" s="4"/>
      <c r="V588" s="4"/>
      <c r="W588" s="4"/>
      <c r="X588" s="4"/>
      <c r="Y588" s="4"/>
      <c r="Z588" s="4"/>
      <c r="AA588" s="4"/>
      <c r="AB588" s="4"/>
      <c r="AC588" s="4"/>
      <c r="AD588" s="4"/>
    </row>
    <row r="589" ht="13.5" customHeight="1" spans="1:30" x14ac:dyDescent="0.25">
      <c r="A589" s="4"/>
      <c r="B589" s="4"/>
      <c r="E589" s="4"/>
      <c r="F589" s="4"/>
      <c r="G589" s="4"/>
      <c r="H589" s="4"/>
      <c r="I589" s="4"/>
      <c r="J589" s="4"/>
      <c r="K589" s="4"/>
      <c r="L589" s="4"/>
      <c r="M589" s="4"/>
      <c r="N589" s="4"/>
      <c r="O589" s="4"/>
      <c r="P589" s="4"/>
      <c r="T589" s="4"/>
      <c r="U589" s="4"/>
      <c r="V589" s="4"/>
      <c r="W589" s="4"/>
      <c r="X589" s="4"/>
      <c r="Y589" s="4"/>
      <c r="Z589" s="4"/>
      <c r="AA589" s="4"/>
      <c r="AB589" s="4"/>
      <c r="AC589" s="4"/>
      <c r="AD589" s="4"/>
    </row>
    <row r="590" ht="13.5" customHeight="1" spans="1:30" x14ac:dyDescent="0.25">
      <c r="A590" s="4"/>
      <c r="B590" s="4"/>
      <c r="E590" s="4"/>
      <c r="F590" s="4"/>
      <c r="G590" s="4"/>
      <c r="H590" s="4"/>
      <c r="I590" s="4"/>
      <c r="J590" s="4"/>
      <c r="K590" s="4"/>
      <c r="L590" s="4"/>
      <c r="M590" s="4"/>
      <c r="N590" s="4"/>
      <c r="O590" s="4"/>
      <c r="P590" s="4"/>
      <c r="T590" s="4"/>
      <c r="U590" s="4"/>
      <c r="V590" s="4"/>
      <c r="W590" s="4"/>
      <c r="X590" s="4"/>
      <c r="Y590" s="4"/>
      <c r="Z590" s="4"/>
      <c r="AA590" s="4"/>
      <c r="AB590" s="4"/>
      <c r="AC590" s="4"/>
      <c r="AD590" s="4"/>
    </row>
    <row r="591" ht="13.5" customHeight="1" spans="1:30" x14ac:dyDescent="0.25">
      <c r="A591" s="4"/>
      <c r="B591" s="4"/>
      <c r="E591" s="4"/>
      <c r="F591" s="4"/>
      <c r="G591" s="4"/>
      <c r="H591" s="4"/>
      <c r="I591" s="4"/>
      <c r="J591" s="4"/>
      <c r="K591" s="4"/>
      <c r="L591" s="4"/>
      <c r="M591" s="4"/>
      <c r="N591" s="4"/>
      <c r="O591" s="4"/>
      <c r="P591" s="4"/>
      <c r="T591" s="4"/>
      <c r="U591" s="4"/>
      <c r="V591" s="4"/>
      <c r="W591" s="4"/>
      <c r="X591" s="4"/>
      <c r="Y591" s="4"/>
      <c r="Z591" s="4"/>
      <c r="AA591" s="4"/>
      <c r="AB591" s="4"/>
      <c r="AC591" s="4"/>
      <c r="AD591" s="4"/>
    </row>
    <row r="592" ht="13.5" customHeight="1" spans="1:30" x14ac:dyDescent="0.25">
      <c r="A592" s="4"/>
      <c r="B592" s="4"/>
      <c r="E592" s="4"/>
      <c r="F592" s="4"/>
      <c r="G592" s="4"/>
      <c r="H592" s="4"/>
      <c r="I592" s="4"/>
      <c r="J592" s="4"/>
      <c r="K592" s="4"/>
      <c r="L592" s="4"/>
      <c r="M592" s="4"/>
      <c r="N592" s="4"/>
      <c r="O592" s="4"/>
      <c r="P592" s="4"/>
      <c r="T592" s="4"/>
      <c r="U592" s="4"/>
      <c r="V592" s="4"/>
      <c r="W592" s="4"/>
      <c r="X592" s="4"/>
      <c r="Y592" s="4"/>
      <c r="Z592" s="4"/>
      <c r="AA592" s="4"/>
      <c r="AB592" s="4"/>
      <c r="AC592" s="4"/>
      <c r="AD592" s="4"/>
    </row>
    <row r="593" ht="13.5" customHeight="1" spans="1:30" x14ac:dyDescent="0.25">
      <c r="A593" s="4"/>
      <c r="B593" s="4"/>
      <c r="E593" s="4"/>
      <c r="F593" s="4"/>
      <c r="G593" s="4"/>
      <c r="H593" s="4"/>
      <c r="I593" s="4"/>
      <c r="J593" s="4"/>
      <c r="K593" s="4"/>
      <c r="L593" s="4"/>
      <c r="M593" s="4"/>
      <c r="N593" s="4"/>
      <c r="O593" s="4"/>
      <c r="P593" s="4"/>
      <c r="T593" s="4"/>
      <c r="U593" s="4"/>
      <c r="V593" s="4"/>
      <c r="W593" s="4"/>
      <c r="X593" s="4"/>
      <c r="Y593" s="4"/>
      <c r="Z593" s="4"/>
      <c r="AA593" s="4"/>
      <c r="AB593" s="4"/>
      <c r="AC593" s="4"/>
      <c r="AD593" s="4"/>
    </row>
    <row r="594" ht="13.5" customHeight="1" spans="1:30" x14ac:dyDescent="0.25">
      <c r="A594" s="4"/>
      <c r="B594" s="4"/>
      <c r="E594" s="4"/>
      <c r="F594" s="4"/>
      <c r="G594" s="4"/>
      <c r="H594" s="4"/>
      <c r="I594" s="4"/>
      <c r="J594" s="4"/>
      <c r="K594" s="4"/>
      <c r="L594" s="4"/>
      <c r="M594" s="4"/>
      <c r="N594" s="4"/>
      <c r="O594" s="4"/>
      <c r="P594" s="4"/>
      <c r="T594" s="4"/>
      <c r="U594" s="4"/>
      <c r="V594" s="4"/>
      <c r="W594" s="4"/>
      <c r="X594" s="4"/>
      <c r="Y594" s="4"/>
      <c r="Z594" s="4"/>
      <c r="AA594" s="4"/>
      <c r="AB594" s="4"/>
      <c r="AC594" s="4"/>
      <c r="AD594" s="4"/>
    </row>
    <row r="595" ht="13.5" customHeight="1" spans="1:30" x14ac:dyDescent="0.25">
      <c r="A595" s="4"/>
      <c r="B595" s="4"/>
      <c r="E595" s="4"/>
      <c r="F595" s="4"/>
      <c r="G595" s="4"/>
      <c r="H595" s="4"/>
      <c r="I595" s="4"/>
      <c r="J595" s="4"/>
      <c r="K595" s="4"/>
      <c r="L595" s="4"/>
      <c r="M595" s="4"/>
      <c r="N595" s="4"/>
      <c r="O595" s="4"/>
      <c r="P595" s="4"/>
      <c r="T595" s="4"/>
      <c r="U595" s="4"/>
      <c r="V595" s="4"/>
      <c r="W595" s="4"/>
      <c r="X595" s="4"/>
      <c r="Y595" s="4"/>
      <c r="Z595" s="4"/>
      <c r="AA595" s="4"/>
      <c r="AB595" s="4"/>
      <c r="AC595" s="4"/>
      <c r="AD595" s="4"/>
    </row>
    <row r="596" ht="13.5" customHeight="1" spans="1:30" x14ac:dyDescent="0.25">
      <c r="A596" s="4"/>
      <c r="B596" s="4"/>
      <c r="E596" s="4"/>
      <c r="F596" s="4"/>
      <c r="G596" s="4"/>
      <c r="H596" s="4"/>
      <c r="I596" s="4"/>
      <c r="J596" s="4"/>
      <c r="K596" s="4"/>
      <c r="L596" s="4"/>
      <c r="M596" s="4"/>
      <c r="N596" s="4"/>
      <c r="O596" s="4"/>
      <c r="P596" s="4"/>
      <c r="T596" s="4"/>
      <c r="U596" s="4"/>
      <c r="V596" s="4"/>
      <c r="W596" s="4"/>
      <c r="X596" s="4"/>
      <c r="Y596" s="4"/>
      <c r="Z596" s="4"/>
      <c r="AA596" s="4"/>
      <c r="AB596" s="4"/>
      <c r="AC596" s="4"/>
      <c r="AD596" s="4"/>
    </row>
    <row r="597" ht="13.5" customHeight="1" spans="1:30" x14ac:dyDescent="0.25">
      <c r="A597" s="4"/>
      <c r="B597" s="4"/>
      <c r="E597" s="4"/>
      <c r="F597" s="4"/>
      <c r="G597" s="4"/>
      <c r="H597" s="4"/>
      <c r="I597" s="4"/>
      <c r="J597" s="4"/>
      <c r="K597" s="4"/>
      <c r="L597" s="4"/>
      <c r="M597" s="4"/>
      <c r="N597" s="4"/>
      <c r="O597" s="4"/>
      <c r="P597" s="4"/>
      <c r="T597" s="4"/>
      <c r="U597" s="4"/>
      <c r="V597" s="4"/>
      <c r="W597" s="4"/>
      <c r="X597" s="4"/>
      <c r="Y597" s="4"/>
      <c r="Z597" s="4"/>
      <c r="AA597" s="4"/>
      <c r="AB597" s="4"/>
      <c r="AC597" s="4"/>
      <c r="AD597" s="4"/>
    </row>
    <row r="598" ht="13.5" customHeight="1" spans="1:30" x14ac:dyDescent="0.25">
      <c r="A598" s="4"/>
      <c r="B598" s="4"/>
      <c r="E598" s="4"/>
      <c r="F598" s="4"/>
      <c r="G598" s="4"/>
      <c r="H598" s="4"/>
      <c r="I598" s="4"/>
      <c r="J598" s="4"/>
      <c r="K598" s="4"/>
      <c r="L598" s="4"/>
      <c r="M598" s="4"/>
      <c r="N598" s="4"/>
      <c r="O598" s="4"/>
      <c r="P598" s="4"/>
      <c r="T598" s="4"/>
      <c r="U598" s="4"/>
      <c r="V598" s="4"/>
      <c r="W598" s="4"/>
      <c r="X598" s="4"/>
      <c r="Y598" s="4"/>
      <c r="Z598" s="4"/>
      <c r="AA598" s="4"/>
      <c r="AB598" s="4"/>
      <c r="AC598" s="4"/>
      <c r="AD598" s="4"/>
    </row>
    <row r="599" ht="13.5" customHeight="1" spans="1:30" x14ac:dyDescent="0.25">
      <c r="A599" s="4"/>
      <c r="B599" s="4"/>
      <c r="E599" s="4"/>
      <c r="F599" s="4"/>
      <c r="G599" s="4"/>
      <c r="H599" s="4"/>
      <c r="I599" s="4"/>
      <c r="J599" s="4"/>
      <c r="K599" s="4"/>
      <c r="L599" s="4"/>
      <c r="M599" s="4"/>
      <c r="N599" s="4"/>
      <c r="O599" s="4"/>
      <c r="P599" s="4"/>
      <c r="T599" s="4"/>
      <c r="U599" s="4"/>
      <c r="V599" s="4"/>
      <c r="W599" s="4"/>
      <c r="X599" s="4"/>
      <c r="Y599" s="4"/>
      <c r="Z599" s="4"/>
      <c r="AA599" s="4"/>
      <c r="AB599" s="4"/>
      <c r="AC599" s="4"/>
      <c r="AD599" s="4"/>
    </row>
    <row r="600" ht="13.5" customHeight="1" spans="1:30" x14ac:dyDescent="0.25">
      <c r="A600" s="4"/>
      <c r="B600" s="4"/>
      <c r="E600" s="4"/>
      <c r="F600" s="4"/>
      <c r="G600" s="4"/>
      <c r="H600" s="4"/>
      <c r="I600" s="4"/>
      <c r="J600" s="4"/>
      <c r="K600" s="4"/>
      <c r="L600" s="4"/>
      <c r="M600" s="4"/>
      <c r="N600" s="4"/>
      <c r="O600" s="4"/>
      <c r="P600" s="4"/>
      <c r="T600" s="4"/>
      <c r="U600" s="4"/>
      <c r="V600" s="4"/>
      <c r="W600" s="4"/>
      <c r="X600" s="4"/>
      <c r="Y600" s="4"/>
      <c r="Z600" s="4"/>
      <c r="AA600" s="4"/>
      <c r="AB600" s="4"/>
      <c r="AC600" s="4"/>
      <c r="AD600" s="4"/>
    </row>
    <row r="601" ht="13.5" customHeight="1" spans="1:30" x14ac:dyDescent="0.25">
      <c r="A601" s="4"/>
      <c r="B601" s="4"/>
      <c r="E601" s="4"/>
      <c r="F601" s="4"/>
      <c r="G601" s="4"/>
      <c r="H601" s="4"/>
      <c r="I601" s="4"/>
      <c r="J601" s="4"/>
      <c r="K601" s="4"/>
      <c r="L601" s="4"/>
      <c r="M601" s="4"/>
      <c r="N601" s="4"/>
      <c r="O601" s="4"/>
      <c r="P601" s="4"/>
      <c r="T601" s="4"/>
      <c r="U601" s="4"/>
      <c r="V601" s="4"/>
      <c r="W601" s="4"/>
      <c r="X601" s="4"/>
      <c r="Y601" s="4"/>
      <c r="Z601" s="4"/>
      <c r="AA601" s="4"/>
      <c r="AB601" s="4"/>
      <c r="AC601" s="4"/>
      <c r="AD601" s="4"/>
    </row>
    <row r="602" ht="13.5" customHeight="1" spans="1:30" x14ac:dyDescent="0.25">
      <c r="A602" s="4"/>
      <c r="B602" s="4"/>
      <c r="E602" s="4"/>
      <c r="F602" s="4"/>
      <c r="G602" s="4"/>
      <c r="H602" s="4"/>
      <c r="I602" s="4"/>
      <c r="J602" s="4"/>
      <c r="K602" s="4"/>
      <c r="L602" s="4"/>
      <c r="M602" s="4"/>
      <c r="N602" s="4"/>
      <c r="O602" s="4"/>
      <c r="P602" s="4"/>
      <c r="T602" s="4"/>
      <c r="U602" s="4"/>
      <c r="V602" s="4"/>
      <c r="W602" s="4"/>
      <c r="X602" s="4"/>
      <c r="Y602" s="4"/>
      <c r="Z602" s="4"/>
      <c r="AA602" s="4"/>
      <c r="AB602" s="4"/>
      <c r="AC602" s="4"/>
      <c r="AD602" s="4"/>
    </row>
    <row r="603" ht="13.5" customHeight="1" spans="1:30" x14ac:dyDescent="0.25">
      <c r="A603" s="4"/>
      <c r="B603" s="4"/>
      <c r="E603" s="4"/>
      <c r="F603" s="4"/>
      <c r="G603" s="4"/>
      <c r="H603" s="4"/>
      <c r="I603" s="4"/>
      <c r="J603" s="4"/>
      <c r="K603" s="4"/>
      <c r="L603" s="4"/>
      <c r="M603" s="4"/>
      <c r="N603" s="4"/>
      <c r="O603" s="4"/>
      <c r="P603" s="4"/>
      <c r="T603" s="4"/>
      <c r="U603" s="4"/>
      <c r="V603" s="4"/>
      <c r="W603" s="4"/>
      <c r="X603" s="4"/>
      <c r="Y603" s="4"/>
      <c r="Z603" s="4"/>
      <c r="AA603" s="4"/>
      <c r="AB603" s="4"/>
      <c r="AC603" s="4"/>
      <c r="AD603" s="4"/>
    </row>
    <row r="604" ht="13.5" customHeight="1" spans="1:30" x14ac:dyDescent="0.25">
      <c r="A604" s="4"/>
      <c r="B604" s="4"/>
      <c r="E604" s="4"/>
      <c r="F604" s="4"/>
      <c r="G604" s="4"/>
      <c r="H604" s="4"/>
      <c r="I604" s="4"/>
      <c r="J604" s="4"/>
      <c r="K604" s="4"/>
      <c r="L604" s="4"/>
      <c r="M604" s="4"/>
      <c r="N604" s="4"/>
      <c r="O604" s="4"/>
      <c r="P604" s="4"/>
      <c r="T604" s="4"/>
      <c r="U604" s="4"/>
      <c r="V604" s="4"/>
      <c r="W604" s="4"/>
      <c r="X604" s="4"/>
      <c r="Y604" s="4"/>
      <c r="Z604" s="4"/>
      <c r="AA604" s="4"/>
      <c r="AB604" s="4"/>
      <c r="AC604" s="4"/>
      <c r="AD604" s="4"/>
    </row>
    <row r="605" ht="13.5" customHeight="1" spans="1:30" x14ac:dyDescent="0.25">
      <c r="A605" s="4"/>
      <c r="B605" s="4"/>
      <c r="E605" s="4"/>
      <c r="F605" s="4"/>
      <c r="G605" s="4"/>
      <c r="H605" s="4"/>
      <c r="I605" s="4"/>
      <c r="J605" s="4"/>
      <c r="K605" s="4"/>
      <c r="L605" s="4"/>
      <c r="M605" s="4"/>
      <c r="N605" s="4"/>
      <c r="O605" s="4"/>
      <c r="P605" s="4"/>
      <c r="T605" s="4"/>
      <c r="U605" s="4"/>
      <c r="V605" s="4"/>
      <c r="W605" s="4"/>
      <c r="X605" s="4"/>
      <c r="Y605" s="4"/>
      <c r="Z605" s="4"/>
      <c r="AA605" s="4"/>
      <c r="AB605" s="4"/>
      <c r="AC605" s="4"/>
      <c r="AD605" s="4"/>
    </row>
    <row r="606" ht="13.5" customHeight="1" spans="1:30" x14ac:dyDescent="0.25">
      <c r="A606" s="4"/>
      <c r="B606" s="4"/>
      <c r="E606" s="4"/>
      <c r="F606" s="4"/>
      <c r="G606" s="4"/>
      <c r="H606" s="4"/>
      <c r="I606" s="4"/>
      <c r="J606" s="4"/>
      <c r="K606" s="4"/>
      <c r="L606" s="4"/>
      <c r="M606" s="4"/>
      <c r="N606" s="4"/>
      <c r="O606" s="4"/>
      <c r="P606" s="4"/>
      <c r="T606" s="4"/>
      <c r="U606" s="4"/>
      <c r="V606" s="4"/>
      <c r="W606" s="4"/>
      <c r="X606" s="4"/>
      <c r="Y606" s="4"/>
      <c r="Z606" s="4"/>
      <c r="AA606" s="4"/>
      <c r="AB606" s="4"/>
      <c r="AC606" s="4"/>
      <c r="AD606" s="4"/>
    </row>
    <row r="607" ht="13.5" customHeight="1" spans="1:30" x14ac:dyDescent="0.25">
      <c r="A607" s="4"/>
      <c r="B607" s="4"/>
      <c r="E607" s="4"/>
      <c r="F607" s="4"/>
      <c r="G607" s="4"/>
      <c r="H607" s="4"/>
      <c r="I607" s="4"/>
      <c r="J607" s="4"/>
      <c r="K607" s="4"/>
      <c r="L607" s="4"/>
      <c r="M607" s="4"/>
      <c r="N607" s="4"/>
      <c r="O607" s="4"/>
      <c r="P607" s="4"/>
      <c r="T607" s="4"/>
      <c r="U607" s="4"/>
      <c r="V607" s="4"/>
      <c r="W607" s="4"/>
      <c r="X607" s="4"/>
      <c r="Y607" s="4"/>
      <c r="Z607" s="4"/>
      <c r="AA607" s="4"/>
      <c r="AB607" s="4"/>
      <c r="AC607" s="4"/>
      <c r="AD607" s="4"/>
    </row>
    <row r="608" ht="13.5" customHeight="1" spans="1:30" x14ac:dyDescent="0.25">
      <c r="A608" s="4"/>
      <c r="B608" s="4"/>
      <c r="E608" s="4"/>
      <c r="F608" s="4"/>
      <c r="G608" s="4"/>
      <c r="H608" s="4"/>
      <c r="I608" s="4"/>
      <c r="J608" s="4"/>
      <c r="K608" s="4"/>
      <c r="L608" s="4"/>
      <c r="M608" s="4"/>
      <c r="N608" s="4"/>
      <c r="O608" s="4"/>
      <c r="P608" s="4"/>
      <c r="T608" s="4"/>
      <c r="U608" s="4"/>
      <c r="V608" s="4"/>
      <c r="W608" s="4"/>
      <c r="X608" s="4"/>
      <c r="Y608" s="4"/>
      <c r="Z608" s="4"/>
      <c r="AA608" s="4"/>
      <c r="AB608" s="4"/>
      <c r="AC608" s="4"/>
      <c r="AD608" s="4"/>
    </row>
    <row r="609" ht="13.5" customHeight="1" spans="1:30" x14ac:dyDescent="0.25">
      <c r="A609" s="4"/>
      <c r="B609" s="4"/>
      <c r="E609" s="4"/>
      <c r="F609" s="4"/>
      <c r="G609" s="4"/>
      <c r="H609" s="4"/>
      <c r="I609" s="4"/>
      <c r="J609" s="4"/>
      <c r="K609" s="4"/>
      <c r="L609" s="4"/>
      <c r="M609" s="4"/>
      <c r="N609" s="4"/>
      <c r="O609" s="4"/>
      <c r="P609" s="4"/>
      <c r="T609" s="4"/>
      <c r="U609" s="4"/>
      <c r="V609" s="4"/>
      <c r="W609" s="4"/>
      <c r="X609" s="4"/>
      <c r="Y609" s="4"/>
      <c r="Z609" s="4"/>
      <c r="AA609" s="4"/>
      <c r="AB609" s="4"/>
      <c r="AC609" s="4"/>
      <c r="AD609" s="4"/>
    </row>
    <row r="610" ht="13.5" customHeight="1" spans="1:30" x14ac:dyDescent="0.25">
      <c r="A610" s="4"/>
      <c r="B610" s="4"/>
      <c r="E610" s="4"/>
      <c r="F610" s="4"/>
      <c r="G610" s="4"/>
      <c r="H610" s="4"/>
      <c r="I610" s="4"/>
      <c r="J610" s="4"/>
      <c r="K610" s="4"/>
      <c r="L610" s="4"/>
      <c r="M610" s="4"/>
      <c r="N610" s="4"/>
      <c r="O610" s="4"/>
      <c r="P610" s="4"/>
      <c r="T610" s="4"/>
      <c r="U610" s="4"/>
      <c r="V610" s="4"/>
      <c r="W610" s="4"/>
      <c r="X610" s="4"/>
      <c r="Y610" s="4"/>
      <c r="Z610" s="4"/>
      <c r="AA610" s="4"/>
      <c r="AB610" s="4"/>
      <c r="AC610" s="4"/>
      <c r="AD610" s="4"/>
    </row>
    <row r="611" ht="13.5" customHeight="1" spans="1:30" x14ac:dyDescent="0.25">
      <c r="A611" s="4"/>
      <c r="B611" s="4"/>
      <c r="E611" s="4"/>
      <c r="F611" s="4"/>
      <c r="G611" s="4"/>
      <c r="H611" s="4"/>
      <c r="I611" s="4"/>
      <c r="J611" s="4"/>
      <c r="K611" s="4"/>
      <c r="L611" s="4"/>
      <c r="M611" s="4"/>
      <c r="N611" s="4"/>
      <c r="O611" s="4"/>
      <c r="P611" s="4"/>
      <c r="T611" s="4"/>
      <c r="U611" s="4"/>
      <c r="V611" s="4"/>
      <c r="W611" s="4"/>
      <c r="X611" s="4"/>
      <c r="Y611" s="4"/>
      <c r="Z611" s="4"/>
      <c r="AA611" s="4"/>
      <c r="AB611" s="4"/>
      <c r="AC611" s="4"/>
      <c r="AD611" s="4"/>
    </row>
    <row r="612" ht="13.5" customHeight="1" spans="1:30" x14ac:dyDescent="0.25">
      <c r="A612" s="4"/>
      <c r="B612" s="4"/>
      <c r="E612" s="4"/>
      <c r="F612" s="4"/>
      <c r="G612" s="4"/>
      <c r="H612" s="4"/>
      <c r="I612" s="4"/>
      <c r="J612" s="4"/>
      <c r="K612" s="4"/>
      <c r="L612" s="4"/>
      <c r="M612" s="4"/>
      <c r="N612" s="4"/>
      <c r="O612" s="4"/>
      <c r="P612" s="4"/>
      <c r="T612" s="4"/>
      <c r="U612" s="4"/>
      <c r="V612" s="4"/>
      <c r="W612" s="4"/>
      <c r="X612" s="4"/>
      <c r="Y612" s="4"/>
      <c r="Z612" s="4"/>
      <c r="AA612" s="4"/>
      <c r="AB612" s="4"/>
      <c r="AC612" s="4"/>
      <c r="AD612" s="4"/>
    </row>
    <row r="613" ht="13.5" customHeight="1" spans="1:30" x14ac:dyDescent="0.25">
      <c r="A613" s="4"/>
      <c r="B613" s="4"/>
      <c r="E613" s="4"/>
      <c r="F613" s="4"/>
      <c r="G613" s="4"/>
      <c r="H613" s="4"/>
      <c r="I613" s="4"/>
      <c r="J613" s="4"/>
      <c r="K613" s="4"/>
      <c r="L613" s="4"/>
      <c r="M613" s="4"/>
      <c r="N613" s="4"/>
      <c r="O613" s="4"/>
      <c r="P613" s="4"/>
      <c r="T613" s="4"/>
      <c r="U613" s="4"/>
      <c r="V613" s="4"/>
      <c r="W613" s="4"/>
      <c r="X613" s="4"/>
      <c r="Y613" s="4"/>
      <c r="Z613" s="4"/>
      <c r="AA613" s="4"/>
      <c r="AB613" s="4"/>
      <c r="AC613" s="4"/>
      <c r="AD613" s="4"/>
    </row>
    <row r="614" ht="13.5" customHeight="1" spans="1:30" x14ac:dyDescent="0.25">
      <c r="A614" s="4"/>
      <c r="B614" s="4"/>
      <c r="E614" s="4"/>
      <c r="F614" s="4"/>
      <c r="G614" s="4"/>
      <c r="H614" s="4"/>
      <c r="I614" s="4"/>
      <c r="J614" s="4"/>
      <c r="K614" s="4"/>
      <c r="L614" s="4"/>
      <c r="M614" s="4"/>
      <c r="N614" s="4"/>
      <c r="O614" s="4"/>
      <c r="P614" s="4"/>
      <c r="T614" s="4"/>
      <c r="U614" s="4"/>
      <c r="V614" s="4"/>
      <c r="W614" s="4"/>
      <c r="X614" s="4"/>
      <c r="Y614" s="4"/>
      <c r="Z614" s="4"/>
      <c r="AA614" s="4"/>
      <c r="AB614" s="4"/>
      <c r="AC614" s="4"/>
      <c r="AD614" s="4"/>
    </row>
    <row r="615" ht="13.5" customHeight="1" spans="1:30" x14ac:dyDescent="0.25">
      <c r="A615" s="4"/>
      <c r="B615" s="4"/>
      <c r="E615" s="4"/>
      <c r="F615" s="4"/>
      <c r="G615" s="4"/>
      <c r="H615" s="4"/>
      <c r="I615" s="4"/>
      <c r="J615" s="4"/>
      <c r="K615" s="4"/>
      <c r="L615" s="4"/>
      <c r="M615" s="4"/>
      <c r="N615" s="4"/>
      <c r="O615" s="4"/>
      <c r="P615" s="4"/>
      <c r="T615" s="4"/>
      <c r="U615" s="4"/>
      <c r="V615" s="4"/>
      <c r="W615" s="4"/>
      <c r="X615" s="4"/>
      <c r="Y615" s="4"/>
      <c r="Z615" s="4"/>
      <c r="AA615" s="4"/>
      <c r="AB615" s="4"/>
      <c r="AC615" s="4"/>
      <c r="AD615" s="4"/>
    </row>
    <row r="616" ht="13.5" customHeight="1" spans="1:30" x14ac:dyDescent="0.25">
      <c r="A616" s="4"/>
      <c r="B616" s="4"/>
      <c r="E616" s="4"/>
      <c r="F616" s="4"/>
      <c r="G616" s="4"/>
      <c r="H616" s="4"/>
      <c r="I616" s="4"/>
      <c r="J616" s="4"/>
      <c r="K616" s="4"/>
      <c r="L616" s="4"/>
      <c r="M616" s="4"/>
      <c r="N616" s="4"/>
      <c r="O616" s="4"/>
      <c r="P616" s="4"/>
      <c r="T616" s="4"/>
      <c r="U616" s="4"/>
      <c r="V616" s="4"/>
      <c r="W616" s="4"/>
      <c r="X616" s="4"/>
      <c r="Y616" s="4"/>
      <c r="Z616" s="4"/>
      <c r="AA616" s="4"/>
      <c r="AB616" s="4"/>
      <c r="AC616" s="4"/>
      <c r="AD616" s="4"/>
    </row>
    <row r="617" ht="13.5" customHeight="1" spans="1:30" x14ac:dyDescent="0.25">
      <c r="A617" s="4"/>
      <c r="B617" s="4"/>
      <c r="E617" s="4"/>
      <c r="F617" s="4"/>
      <c r="G617" s="4"/>
      <c r="H617" s="4"/>
      <c r="I617" s="4"/>
      <c r="J617" s="4"/>
      <c r="K617" s="4"/>
      <c r="L617" s="4"/>
      <c r="M617" s="4"/>
      <c r="N617" s="4"/>
      <c r="O617" s="4"/>
      <c r="P617" s="4"/>
      <c r="T617" s="4"/>
      <c r="U617" s="4"/>
      <c r="V617" s="4"/>
      <c r="W617" s="4"/>
      <c r="X617" s="4"/>
      <c r="Y617" s="4"/>
      <c r="Z617" s="4"/>
      <c r="AA617" s="4"/>
      <c r="AB617" s="4"/>
      <c r="AC617" s="4"/>
      <c r="AD617" s="4"/>
    </row>
    <row r="618" ht="13.5" customHeight="1" spans="1:30" x14ac:dyDescent="0.25">
      <c r="A618" s="4"/>
      <c r="B618" s="4"/>
      <c r="E618" s="4"/>
      <c r="F618" s="4"/>
      <c r="G618" s="4"/>
      <c r="H618" s="4"/>
      <c r="I618" s="4"/>
      <c r="J618" s="4"/>
      <c r="K618" s="4"/>
      <c r="L618" s="4"/>
      <c r="M618" s="4"/>
      <c r="N618" s="4"/>
      <c r="O618" s="4"/>
      <c r="P618" s="4"/>
      <c r="T618" s="4"/>
      <c r="U618" s="4"/>
      <c r="V618" s="4"/>
      <c r="W618" s="4"/>
      <c r="X618" s="4"/>
      <c r="Y618" s="4"/>
      <c r="Z618" s="4"/>
      <c r="AA618" s="4"/>
      <c r="AB618" s="4"/>
      <c r="AC618" s="4"/>
      <c r="AD618" s="4"/>
    </row>
    <row r="619" ht="13.5" customHeight="1" spans="1:30" x14ac:dyDescent="0.25">
      <c r="A619" s="4"/>
      <c r="B619" s="4"/>
      <c r="E619" s="4"/>
      <c r="F619" s="4"/>
      <c r="G619" s="4"/>
      <c r="H619" s="4"/>
      <c r="I619" s="4"/>
      <c r="J619" s="4"/>
      <c r="K619" s="4"/>
      <c r="L619" s="4"/>
      <c r="M619" s="4"/>
      <c r="N619" s="4"/>
      <c r="O619" s="4"/>
      <c r="P619" s="4"/>
      <c r="T619" s="4"/>
      <c r="U619" s="4"/>
      <c r="V619" s="4"/>
      <c r="W619" s="4"/>
      <c r="X619" s="4"/>
      <c r="Y619" s="4"/>
      <c r="Z619" s="4"/>
      <c r="AA619" s="4"/>
      <c r="AB619" s="4"/>
      <c r="AC619" s="4"/>
      <c r="AD619" s="4"/>
    </row>
    <row r="620" ht="13.5" customHeight="1" spans="1:30" x14ac:dyDescent="0.25">
      <c r="A620" s="4"/>
      <c r="B620" s="4"/>
      <c r="E620" s="4"/>
      <c r="F620" s="4"/>
      <c r="G620" s="4"/>
      <c r="H620" s="4"/>
      <c r="I620" s="4"/>
      <c r="J620" s="4"/>
      <c r="K620" s="4"/>
      <c r="L620" s="4"/>
      <c r="M620" s="4"/>
      <c r="N620" s="4"/>
      <c r="O620" s="4"/>
      <c r="P620" s="4"/>
      <c r="T620" s="4"/>
      <c r="U620" s="4"/>
      <c r="V620" s="4"/>
      <c r="W620" s="4"/>
      <c r="X620" s="4"/>
      <c r="Y620" s="4"/>
      <c r="Z620" s="4"/>
      <c r="AA620" s="4"/>
      <c r="AB620" s="4"/>
      <c r="AC620" s="4"/>
      <c r="AD620" s="4"/>
    </row>
    <row r="621" ht="13.5" customHeight="1" spans="1:30" x14ac:dyDescent="0.25">
      <c r="A621" s="4"/>
      <c r="B621" s="4"/>
      <c r="E621" s="4"/>
      <c r="F621" s="4"/>
      <c r="G621" s="4"/>
      <c r="H621" s="4"/>
      <c r="I621" s="4"/>
      <c r="J621" s="4"/>
      <c r="K621" s="4"/>
      <c r="L621" s="4"/>
      <c r="M621" s="4"/>
      <c r="N621" s="4"/>
      <c r="O621" s="4"/>
      <c r="P621" s="4"/>
      <c r="T621" s="4"/>
      <c r="U621" s="4"/>
      <c r="V621" s="4"/>
      <c r="W621" s="4"/>
      <c r="X621" s="4"/>
      <c r="Y621" s="4"/>
      <c r="Z621" s="4"/>
      <c r="AA621" s="4"/>
      <c r="AB621" s="4"/>
      <c r="AC621" s="4"/>
      <c r="AD621" s="4"/>
    </row>
    <row r="622" ht="13.5" customHeight="1" spans="1:30" x14ac:dyDescent="0.25">
      <c r="A622" s="4"/>
      <c r="B622" s="4"/>
      <c r="E622" s="4"/>
      <c r="F622" s="4"/>
      <c r="G622" s="4"/>
      <c r="H622" s="4"/>
      <c r="I622" s="4"/>
      <c r="J622" s="4"/>
      <c r="K622" s="4"/>
      <c r="L622" s="4"/>
      <c r="M622" s="4"/>
      <c r="N622" s="4"/>
      <c r="O622" s="4"/>
      <c r="P622" s="4"/>
      <c r="T622" s="4"/>
      <c r="U622" s="4"/>
      <c r="V622" s="4"/>
      <c r="W622" s="4"/>
      <c r="X622" s="4"/>
      <c r="Y622" s="4"/>
      <c r="Z622" s="4"/>
      <c r="AA622" s="4"/>
      <c r="AB622" s="4"/>
      <c r="AC622" s="4"/>
      <c r="AD622" s="4"/>
    </row>
    <row r="623" ht="13.5" customHeight="1" spans="1:30" x14ac:dyDescent="0.25">
      <c r="A623" s="4"/>
      <c r="B623" s="4"/>
      <c r="E623" s="4"/>
      <c r="F623" s="4"/>
      <c r="G623" s="4"/>
      <c r="H623" s="4"/>
      <c r="I623" s="4"/>
      <c r="J623" s="4"/>
      <c r="K623" s="4"/>
      <c r="L623" s="4"/>
      <c r="M623" s="4"/>
      <c r="N623" s="4"/>
      <c r="O623" s="4"/>
      <c r="P623" s="4"/>
      <c r="T623" s="4"/>
      <c r="U623" s="4"/>
      <c r="V623" s="4"/>
      <c r="W623" s="4"/>
      <c r="X623" s="4"/>
      <c r="Y623" s="4"/>
      <c r="Z623" s="4"/>
      <c r="AA623" s="4"/>
      <c r="AB623" s="4"/>
      <c r="AC623" s="4"/>
      <c r="AD623" s="4"/>
    </row>
    <row r="624" ht="13.5" customHeight="1" spans="1:30" x14ac:dyDescent="0.25">
      <c r="A624" s="4"/>
      <c r="B624" s="4"/>
      <c r="E624" s="4"/>
      <c r="F624" s="4"/>
      <c r="G624" s="4"/>
      <c r="H624" s="4"/>
      <c r="I624" s="4"/>
      <c r="J624" s="4"/>
      <c r="K624" s="4"/>
      <c r="L624" s="4"/>
      <c r="M624" s="4"/>
      <c r="N624" s="4"/>
      <c r="O624" s="4"/>
      <c r="P624" s="4"/>
      <c r="T624" s="4"/>
      <c r="U624" s="4"/>
      <c r="V624" s="4"/>
      <c r="W624" s="4"/>
      <c r="X624" s="4"/>
      <c r="Y624" s="4"/>
      <c r="Z624" s="4"/>
      <c r="AA624" s="4"/>
      <c r="AB624" s="4"/>
      <c r="AC624" s="4"/>
      <c r="AD624" s="4"/>
    </row>
    <row r="625" ht="13.5" customHeight="1" spans="1:30" x14ac:dyDescent="0.25">
      <c r="A625" s="4"/>
      <c r="B625" s="4"/>
      <c r="E625" s="4"/>
      <c r="F625" s="4"/>
      <c r="G625" s="4"/>
      <c r="H625" s="4"/>
      <c r="I625" s="4"/>
      <c r="J625" s="4"/>
      <c r="K625" s="4"/>
      <c r="L625" s="4"/>
      <c r="M625" s="4"/>
      <c r="N625" s="4"/>
      <c r="O625" s="4"/>
      <c r="P625" s="4"/>
      <c r="T625" s="4"/>
      <c r="U625" s="4"/>
      <c r="V625" s="4"/>
      <c r="W625" s="4"/>
      <c r="X625" s="4"/>
      <c r="Y625" s="4"/>
      <c r="Z625" s="4"/>
      <c r="AA625" s="4"/>
      <c r="AB625" s="4"/>
      <c r="AC625" s="4"/>
      <c r="AD625" s="4"/>
    </row>
    <row r="626" ht="13.5" customHeight="1" spans="1:30" x14ac:dyDescent="0.25">
      <c r="A626" s="4"/>
      <c r="B626" s="4"/>
      <c r="E626" s="4"/>
      <c r="F626" s="4"/>
      <c r="G626" s="4"/>
      <c r="H626" s="4"/>
      <c r="I626" s="4"/>
      <c r="J626" s="4"/>
      <c r="K626" s="4"/>
      <c r="L626" s="4"/>
      <c r="M626" s="4"/>
      <c r="N626" s="4"/>
      <c r="O626" s="4"/>
      <c r="P626" s="4"/>
      <c r="T626" s="4"/>
      <c r="U626" s="4"/>
      <c r="V626" s="4"/>
      <c r="W626" s="4"/>
      <c r="X626" s="4"/>
      <c r="Y626" s="4"/>
      <c r="Z626" s="4"/>
      <c r="AA626" s="4"/>
      <c r="AB626" s="4"/>
      <c r="AC626" s="4"/>
      <c r="AD626" s="4"/>
    </row>
    <row r="627" ht="13.5" customHeight="1" spans="1:30" x14ac:dyDescent="0.25">
      <c r="A627" s="4"/>
      <c r="B627" s="4"/>
      <c r="E627" s="4"/>
      <c r="F627" s="4"/>
      <c r="G627" s="4"/>
      <c r="H627" s="4"/>
      <c r="I627" s="4"/>
      <c r="J627" s="4"/>
      <c r="K627" s="4"/>
      <c r="L627" s="4"/>
      <c r="M627" s="4"/>
      <c r="N627" s="4"/>
      <c r="O627" s="4"/>
      <c r="P627" s="4"/>
      <c r="T627" s="4"/>
      <c r="U627" s="4"/>
      <c r="V627" s="4"/>
      <c r="W627" s="4"/>
      <c r="X627" s="4"/>
      <c r="Y627" s="4"/>
      <c r="Z627" s="4"/>
      <c r="AA627" s="4"/>
      <c r="AB627" s="4"/>
      <c r="AC627" s="4"/>
      <c r="AD627" s="4"/>
    </row>
    <row r="628" ht="13.5" customHeight="1" spans="1:30" x14ac:dyDescent="0.25">
      <c r="A628" s="4"/>
      <c r="B628" s="4"/>
      <c r="E628" s="4"/>
      <c r="F628" s="4"/>
      <c r="G628" s="4"/>
      <c r="H628" s="4"/>
      <c r="I628" s="4"/>
      <c r="J628" s="4"/>
      <c r="K628" s="4"/>
      <c r="L628" s="4"/>
      <c r="M628" s="4"/>
      <c r="N628" s="4"/>
      <c r="O628" s="4"/>
      <c r="P628" s="4"/>
      <c r="T628" s="4"/>
      <c r="U628" s="4"/>
      <c r="V628" s="4"/>
      <c r="W628" s="4"/>
      <c r="X628" s="4"/>
      <c r="Y628" s="4"/>
      <c r="Z628" s="4"/>
      <c r="AA628" s="4"/>
      <c r="AB628" s="4"/>
      <c r="AC628" s="4"/>
      <c r="AD628" s="4"/>
    </row>
    <row r="629" ht="13.5" customHeight="1" spans="1:30" x14ac:dyDescent="0.25">
      <c r="A629" s="4"/>
      <c r="B629" s="4"/>
      <c r="E629" s="4"/>
      <c r="F629" s="4"/>
      <c r="G629" s="4"/>
      <c r="H629" s="4"/>
      <c r="I629" s="4"/>
      <c r="J629" s="4"/>
      <c r="K629" s="4"/>
      <c r="L629" s="4"/>
      <c r="M629" s="4"/>
      <c r="N629" s="4"/>
      <c r="O629" s="4"/>
      <c r="P629" s="4"/>
      <c r="T629" s="4"/>
      <c r="U629" s="4"/>
      <c r="V629" s="4"/>
      <c r="W629" s="4"/>
      <c r="X629" s="4"/>
      <c r="Y629" s="4"/>
      <c r="Z629" s="4"/>
      <c r="AA629" s="4"/>
      <c r="AB629" s="4"/>
      <c r="AC629" s="4"/>
      <c r="AD629" s="4"/>
    </row>
    <row r="630" ht="13.5" customHeight="1" spans="1:30" x14ac:dyDescent="0.25">
      <c r="A630" s="4"/>
      <c r="B630" s="4"/>
      <c r="E630" s="4"/>
      <c r="F630" s="4"/>
      <c r="G630" s="4"/>
      <c r="H630" s="4"/>
      <c r="I630" s="4"/>
      <c r="J630" s="4"/>
      <c r="K630" s="4"/>
      <c r="L630" s="4"/>
      <c r="M630" s="4"/>
      <c r="N630" s="4"/>
      <c r="O630" s="4"/>
      <c r="P630" s="4"/>
      <c r="T630" s="4"/>
      <c r="U630" s="4"/>
      <c r="V630" s="4"/>
      <c r="W630" s="4"/>
      <c r="X630" s="4"/>
      <c r="Y630" s="4"/>
      <c r="Z630" s="4"/>
      <c r="AA630" s="4"/>
      <c r="AB630" s="4"/>
      <c r="AC630" s="4"/>
      <c r="AD630" s="4"/>
    </row>
    <row r="631" ht="13.5" customHeight="1" spans="1:30" x14ac:dyDescent="0.25">
      <c r="A631" s="4"/>
      <c r="B631" s="4"/>
      <c r="E631" s="4"/>
      <c r="F631" s="4"/>
      <c r="G631" s="4"/>
      <c r="H631" s="4"/>
      <c r="I631" s="4"/>
      <c r="J631" s="4"/>
      <c r="K631" s="4"/>
      <c r="L631" s="4"/>
      <c r="M631" s="4"/>
      <c r="N631" s="4"/>
      <c r="O631" s="4"/>
      <c r="P631" s="4"/>
      <c r="T631" s="4"/>
      <c r="U631" s="4"/>
      <c r="V631" s="4"/>
      <c r="W631" s="4"/>
      <c r="X631" s="4"/>
      <c r="Y631" s="4"/>
      <c r="Z631" s="4"/>
      <c r="AA631" s="4"/>
      <c r="AB631" s="4"/>
      <c r="AC631" s="4"/>
      <c r="AD631" s="4"/>
    </row>
    <row r="632" ht="13.5" customHeight="1" spans="1:30" x14ac:dyDescent="0.25">
      <c r="A632" s="4"/>
      <c r="B632" s="4"/>
      <c r="E632" s="4"/>
      <c r="F632" s="4"/>
      <c r="G632" s="4"/>
      <c r="H632" s="4"/>
      <c r="I632" s="4"/>
      <c r="J632" s="4"/>
      <c r="K632" s="4"/>
      <c r="L632" s="4"/>
      <c r="M632" s="4"/>
      <c r="N632" s="4"/>
      <c r="O632" s="4"/>
      <c r="P632" s="4"/>
      <c r="T632" s="4"/>
      <c r="U632" s="4"/>
      <c r="V632" s="4"/>
      <c r="W632" s="4"/>
      <c r="X632" s="4"/>
      <c r="Y632" s="4"/>
      <c r="Z632" s="4"/>
      <c r="AA632" s="4"/>
      <c r="AB632" s="4"/>
      <c r="AC632" s="4"/>
      <c r="AD632" s="4"/>
    </row>
    <row r="633" ht="13.5" customHeight="1" spans="1:30" x14ac:dyDescent="0.25">
      <c r="A633" s="4"/>
      <c r="B633" s="4"/>
      <c r="E633" s="4"/>
      <c r="F633" s="4"/>
      <c r="G633" s="4"/>
      <c r="H633" s="4"/>
      <c r="I633" s="4"/>
      <c r="J633" s="4"/>
      <c r="K633" s="4"/>
      <c r="L633" s="4"/>
      <c r="M633" s="4"/>
      <c r="N633" s="4"/>
      <c r="O633" s="4"/>
      <c r="P633" s="4"/>
      <c r="T633" s="4"/>
      <c r="U633" s="4"/>
      <c r="V633" s="4"/>
      <c r="W633" s="4"/>
      <c r="X633" s="4"/>
      <c r="Y633" s="4"/>
      <c r="Z633" s="4"/>
      <c r="AA633" s="4"/>
      <c r="AB633" s="4"/>
      <c r="AC633" s="4"/>
      <c r="AD633" s="4"/>
    </row>
    <row r="634" ht="13.5" customHeight="1" spans="1:30" x14ac:dyDescent="0.25">
      <c r="A634" s="4"/>
      <c r="B634" s="4"/>
      <c r="E634" s="4"/>
      <c r="F634" s="4"/>
      <c r="G634" s="4"/>
      <c r="H634" s="4"/>
      <c r="I634" s="4"/>
      <c r="J634" s="4"/>
      <c r="K634" s="4"/>
      <c r="L634" s="4"/>
      <c r="M634" s="4"/>
      <c r="N634" s="4"/>
      <c r="O634" s="4"/>
      <c r="P634" s="4"/>
      <c r="T634" s="4"/>
      <c r="U634" s="4"/>
      <c r="V634" s="4"/>
      <c r="W634" s="4"/>
      <c r="X634" s="4"/>
      <c r="Y634" s="4"/>
      <c r="Z634" s="4"/>
      <c r="AA634" s="4"/>
      <c r="AB634" s="4"/>
      <c r="AC634" s="4"/>
      <c r="AD634" s="4"/>
    </row>
    <row r="635" ht="13.5" customHeight="1" spans="1:30" x14ac:dyDescent="0.25">
      <c r="A635" s="4"/>
      <c r="B635" s="4"/>
      <c r="E635" s="4"/>
      <c r="F635" s="4"/>
      <c r="G635" s="4"/>
      <c r="H635" s="4"/>
      <c r="I635" s="4"/>
      <c r="J635" s="4"/>
      <c r="K635" s="4"/>
      <c r="L635" s="4"/>
      <c r="M635" s="4"/>
      <c r="N635" s="4"/>
      <c r="O635" s="4"/>
      <c r="P635" s="4"/>
      <c r="T635" s="4"/>
      <c r="U635" s="4"/>
      <c r="V635" s="4"/>
      <c r="W635" s="4"/>
      <c r="X635" s="4"/>
      <c r="Y635" s="4"/>
      <c r="Z635" s="4"/>
      <c r="AA635" s="4"/>
      <c r="AB635" s="4"/>
      <c r="AC635" s="4"/>
      <c r="AD635" s="4"/>
    </row>
    <row r="636" ht="13.5" customHeight="1" spans="1:30" x14ac:dyDescent="0.25">
      <c r="A636" s="4"/>
      <c r="B636" s="4"/>
      <c r="E636" s="4"/>
      <c r="F636" s="4"/>
      <c r="G636" s="4"/>
      <c r="H636" s="4"/>
      <c r="I636" s="4"/>
      <c r="J636" s="4"/>
      <c r="K636" s="4"/>
      <c r="L636" s="4"/>
      <c r="M636" s="4"/>
      <c r="N636" s="4"/>
      <c r="O636" s="4"/>
      <c r="P636" s="4"/>
      <c r="T636" s="4"/>
      <c r="U636" s="4"/>
      <c r="V636" s="4"/>
      <c r="W636" s="4"/>
      <c r="X636" s="4"/>
      <c r="Y636" s="4"/>
      <c r="Z636" s="4"/>
      <c r="AA636" s="4"/>
      <c r="AB636" s="4"/>
      <c r="AC636" s="4"/>
      <c r="AD636" s="4"/>
    </row>
    <row r="637" ht="13.5" customHeight="1" spans="1:30" x14ac:dyDescent="0.25">
      <c r="A637" s="4"/>
      <c r="B637" s="4"/>
      <c r="E637" s="4"/>
      <c r="F637" s="4"/>
      <c r="G637" s="4"/>
      <c r="H637" s="4"/>
      <c r="I637" s="4"/>
      <c r="J637" s="4"/>
      <c r="K637" s="4"/>
      <c r="L637" s="4"/>
      <c r="M637" s="4"/>
      <c r="N637" s="4"/>
      <c r="O637" s="4"/>
      <c r="P637" s="4"/>
      <c r="T637" s="4"/>
      <c r="U637" s="4"/>
      <c r="V637" s="4"/>
      <c r="W637" s="4"/>
      <c r="X637" s="4"/>
      <c r="Y637" s="4"/>
      <c r="Z637" s="4"/>
      <c r="AA637" s="4"/>
      <c r="AB637" s="4"/>
      <c r="AC637" s="4"/>
      <c r="AD637" s="4"/>
    </row>
    <row r="638" ht="13.5" customHeight="1" spans="1:30" x14ac:dyDescent="0.25">
      <c r="A638" s="4"/>
      <c r="B638" s="4"/>
      <c r="E638" s="4"/>
      <c r="F638" s="4"/>
      <c r="G638" s="4"/>
      <c r="H638" s="4"/>
      <c r="I638" s="4"/>
      <c r="J638" s="4"/>
      <c r="K638" s="4"/>
      <c r="L638" s="4"/>
      <c r="M638" s="4"/>
      <c r="N638" s="4"/>
      <c r="O638" s="4"/>
      <c r="P638" s="4"/>
      <c r="T638" s="4"/>
      <c r="U638" s="4"/>
      <c r="V638" s="4"/>
      <c r="W638" s="4"/>
      <c r="X638" s="4"/>
      <c r="Y638" s="4"/>
      <c r="Z638" s="4"/>
      <c r="AA638" s="4"/>
      <c r="AB638" s="4"/>
      <c r="AC638" s="4"/>
      <c r="AD638" s="4"/>
    </row>
    <row r="639" ht="13.5" customHeight="1" spans="1:30" x14ac:dyDescent="0.25">
      <c r="A639" s="4"/>
      <c r="B639" s="4"/>
      <c r="E639" s="4"/>
      <c r="F639" s="4"/>
      <c r="G639" s="4"/>
      <c r="H639" s="4"/>
      <c r="I639" s="4"/>
      <c r="J639" s="4"/>
      <c r="K639" s="4"/>
      <c r="L639" s="4"/>
      <c r="M639" s="4"/>
      <c r="N639" s="4"/>
      <c r="O639" s="4"/>
      <c r="P639" s="4"/>
      <c r="T639" s="4"/>
      <c r="U639" s="4"/>
      <c r="V639" s="4"/>
      <c r="W639" s="4"/>
      <c r="X639" s="4"/>
      <c r="Y639" s="4"/>
      <c r="Z639" s="4"/>
      <c r="AA639" s="4"/>
      <c r="AB639" s="4"/>
      <c r="AC639" s="4"/>
      <c r="AD639" s="4"/>
    </row>
    <row r="640" ht="13.5" customHeight="1" spans="1:30" x14ac:dyDescent="0.25">
      <c r="A640" s="4"/>
      <c r="B640" s="4"/>
      <c r="E640" s="4"/>
      <c r="F640" s="4"/>
      <c r="G640" s="4"/>
      <c r="H640" s="4"/>
      <c r="I640" s="4"/>
      <c r="J640" s="4"/>
      <c r="K640" s="4"/>
      <c r="L640" s="4"/>
      <c r="M640" s="4"/>
      <c r="N640" s="4"/>
      <c r="O640" s="4"/>
      <c r="P640" s="4"/>
      <c r="T640" s="4"/>
      <c r="U640" s="4"/>
      <c r="V640" s="4"/>
      <c r="W640" s="4"/>
      <c r="X640" s="4"/>
      <c r="Y640" s="4"/>
      <c r="Z640" s="4"/>
      <c r="AA640" s="4"/>
      <c r="AB640" s="4"/>
      <c r="AC640" s="4"/>
      <c r="AD640" s="4"/>
    </row>
    <row r="641" ht="13.5" customHeight="1" spans="1:30" x14ac:dyDescent="0.25">
      <c r="A641" s="4"/>
      <c r="B641" s="4"/>
      <c r="E641" s="4"/>
      <c r="F641" s="4"/>
      <c r="G641" s="4"/>
      <c r="H641" s="4"/>
      <c r="I641" s="4"/>
      <c r="J641" s="4"/>
      <c r="K641" s="4"/>
      <c r="L641" s="4"/>
      <c r="M641" s="4"/>
      <c r="N641" s="4"/>
      <c r="O641" s="4"/>
      <c r="P641" s="4"/>
      <c r="T641" s="4"/>
      <c r="U641" s="4"/>
      <c r="V641" s="4"/>
      <c r="W641" s="4"/>
      <c r="X641" s="4"/>
      <c r="Y641" s="4"/>
      <c r="Z641" s="4"/>
      <c r="AA641" s="4"/>
      <c r="AB641" s="4"/>
      <c r="AC641" s="4"/>
      <c r="AD641" s="4"/>
    </row>
    <row r="642" ht="13.5" customHeight="1" spans="1:30" x14ac:dyDescent="0.25">
      <c r="A642" s="4"/>
      <c r="B642" s="4"/>
      <c r="E642" s="4"/>
      <c r="F642" s="4"/>
      <c r="G642" s="4"/>
      <c r="H642" s="4"/>
      <c r="I642" s="4"/>
      <c r="J642" s="4"/>
      <c r="K642" s="4"/>
      <c r="L642" s="4"/>
      <c r="M642" s="4"/>
      <c r="N642" s="4"/>
      <c r="O642" s="4"/>
      <c r="P642" s="4"/>
      <c r="T642" s="4"/>
      <c r="U642" s="4"/>
      <c r="V642" s="4"/>
      <c r="W642" s="4"/>
      <c r="X642" s="4"/>
      <c r="Y642" s="4"/>
      <c r="Z642" s="4"/>
      <c r="AA642" s="4"/>
      <c r="AB642" s="4"/>
      <c r="AC642" s="4"/>
      <c r="AD642" s="4"/>
    </row>
    <row r="643" ht="13.5" customHeight="1" spans="1:30" x14ac:dyDescent="0.25">
      <c r="A643" s="4"/>
      <c r="B643" s="4"/>
      <c r="E643" s="4"/>
      <c r="F643" s="4"/>
      <c r="G643" s="4"/>
      <c r="H643" s="4"/>
      <c r="I643" s="4"/>
      <c r="J643" s="4"/>
      <c r="K643" s="4"/>
      <c r="L643" s="4"/>
      <c r="M643" s="4"/>
      <c r="N643" s="4"/>
      <c r="O643" s="4"/>
      <c r="P643" s="4"/>
      <c r="T643" s="4"/>
      <c r="U643" s="4"/>
      <c r="V643" s="4"/>
      <c r="W643" s="4"/>
      <c r="X643" s="4"/>
      <c r="Y643" s="4"/>
      <c r="Z643" s="4"/>
      <c r="AA643" s="4"/>
      <c r="AB643" s="4"/>
      <c r="AC643" s="4"/>
      <c r="AD643" s="4"/>
    </row>
    <row r="644" ht="13.5" customHeight="1" spans="1:30" x14ac:dyDescent="0.25">
      <c r="A644" s="4"/>
      <c r="B644" s="4"/>
      <c r="E644" s="4"/>
      <c r="F644" s="4"/>
      <c r="G644" s="4"/>
      <c r="H644" s="4"/>
      <c r="I644" s="4"/>
      <c r="J644" s="4"/>
      <c r="K644" s="4"/>
      <c r="L644" s="4"/>
      <c r="M644" s="4"/>
      <c r="N644" s="4"/>
      <c r="O644" s="4"/>
      <c r="P644" s="4"/>
      <c r="T644" s="4"/>
      <c r="U644" s="4"/>
      <c r="V644" s="4"/>
      <c r="W644" s="4"/>
      <c r="X644" s="4"/>
      <c r="Y644" s="4"/>
      <c r="Z644" s="4"/>
      <c r="AA644" s="4"/>
      <c r="AB644" s="4"/>
      <c r="AC644" s="4"/>
      <c r="AD644" s="4"/>
    </row>
    <row r="645" ht="13.5" customHeight="1" spans="1:30" x14ac:dyDescent="0.25">
      <c r="A645" s="4"/>
      <c r="B645" s="4"/>
      <c r="E645" s="4"/>
      <c r="F645" s="4"/>
      <c r="G645" s="4"/>
      <c r="H645" s="4"/>
      <c r="I645" s="4"/>
      <c r="J645" s="4"/>
      <c r="K645" s="4"/>
      <c r="L645" s="4"/>
      <c r="M645" s="4"/>
      <c r="N645" s="4"/>
      <c r="O645" s="4"/>
      <c r="P645" s="4"/>
      <c r="T645" s="4"/>
      <c r="U645" s="4"/>
      <c r="V645" s="4"/>
      <c r="W645" s="4"/>
      <c r="X645" s="4"/>
      <c r="Y645" s="4"/>
      <c r="Z645" s="4"/>
      <c r="AA645" s="4"/>
      <c r="AB645" s="4"/>
      <c r="AC645" s="4"/>
      <c r="AD645" s="4"/>
    </row>
    <row r="646" ht="13.5" customHeight="1" spans="1:30" x14ac:dyDescent="0.25">
      <c r="A646" s="4"/>
      <c r="B646" s="4"/>
      <c r="E646" s="4"/>
      <c r="F646" s="4"/>
      <c r="G646" s="4"/>
      <c r="H646" s="4"/>
      <c r="I646" s="4"/>
      <c r="J646" s="4"/>
      <c r="K646" s="4"/>
      <c r="L646" s="4"/>
      <c r="M646" s="4"/>
      <c r="N646" s="4"/>
      <c r="O646" s="4"/>
      <c r="P646" s="4"/>
      <c r="T646" s="4"/>
      <c r="U646" s="4"/>
      <c r="V646" s="4"/>
      <c r="W646" s="4"/>
      <c r="X646" s="4"/>
      <c r="Y646" s="4"/>
      <c r="Z646" s="4"/>
      <c r="AA646" s="4"/>
      <c r="AB646" s="4"/>
      <c r="AC646" s="4"/>
      <c r="AD646" s="4"/>
    </row>
    <row r="647" ht="13.5" customHeight="1" spans="1:30" x14ac:dyDescent="0.25">
      <c r="A647" s="4"/>
      <c r="B647" s="4"/>
      <c r="E647" s="4"/>
      <c r="F647" s="4"/>
      <c r="G647" s="4"/>
      <c r="H647" s="4"/>
      <c r="I647" s="4"/>
      <c r="J647" s="4"/>
      <c r="K647" s="4"/>
      <c r="L647" s="4"/>
      <c r="M647" s="4"/>
      <c r="N647" s="4"/>
      <c r="O647" s="4"/>
      <c r="P647" s="4"/>
      <c r="T647" s="4"/>
      <c r="U647" s="4"/>
      <c r="V647" s="4"/>
      <c r="W647" s="4"/>
      <c r="X647" s="4"/>
      <c r="Y647" s="4"/>
      <c r="Z647" s="4"/>
      <c r="AA647" s="4"/>
      <c r="AB647" s="4"/>
      <c r="AC647" s="4"/>
      <c r="AD647" s="4"/>
    </row>
    <row r="648" ht="13.5" customHeight="1" spans="1:30" x14ac:dyDescent="0.25">
      <c r="A648" s="4"/>
      <c r="B648" s="4"/>
      <c r="E648" s="4"/>
      <c r="F648" s="4"/>
      <c r="G648" s="4"/>
      <c r="H648" s="4"/>
      <c r="I648" s="4"/>
      <c r="J648" s="4"/>
      <c r="K648" s="4"/>
      <c r="L648" s="4"/>
      <c r="M648" s="4"/>
      <c r="N648" s="4"/>
      <c r="O648" s="4"/>
      <c r="P648" s="4"/>
      <c r="T648" s="4"/>
      <c r="U648" s="4"/>
      <c r="V648" s="4"/>
      <c r="W648" s="4"/>
      <c r="X648" s="4"/>
      <c r="Y648" s="4"/>
      <c r="Z648" s="4"/>
      <c r="AA648" s="4"/>
      <c r="AB648" s="4"/>
      <c r="AC648" s="4"/>
      <c r="AD648" s="4"/>
    </row>
    <row r="649" ht="13.5" customHeight="1" spans="1:30" x14ac:dyDescent="0.25">
      <c r="A649" s="4"/>
      <c r="B649" s="4"/>
      <c r="E649" s="4"/>
      <c r="F649" s="4"/>
      <c r="G649" s="4"/>
      <c r="H649" s="4"/>
      <c r="I649" s="4"/>
      <c r="J649" s="4"/>
      <c r="K649" s="4"/>
      <c r="L649" s="4"/>
      <c r="M649" s="4"/>
      <c r="N649" s="4"/>
      <c r="O649" s="4"/>
      <c r="P649" s="4"/>
      <c r="T649" s="4"/>
      <c r="U649" s="4"/>
      <c r="V649" s="4"/>
      <c r="W649" s="4"/>
      <c r="X649" s="4"/>
      <c r="Y649" s="4"/>
      <c r="Z649" s="4"/>
      <c r="AA649" s="4"/>
      <c r="AB649" s="4"/>
      <c r="AC649" s="4"/>
      <c r="AD649" s="4"/>
    </row>
    <row r="650" ht="13.5" customHeight="1" spans="1:30" x14ac:dyDescent="0.25">
      <c r="A650" s="4"/>
      <c r="B650" s="4"/>
      <c r="E650" s="4"/>
      <c r="F650" s="4"/>
      <c r="G650" s="4"/>
      <c r="H650" s="4"/>
      <c r="I650" s="4"/>
      <c r="J650" s="4"/>
      <c r="K650" s="4"/>
      <c r="L650" s="4"/>
      <c r="M650" s="4"/>
      <c r="N650" s="4"/>
      <c r="O650" s="4"/>
      <c r="P650" s="4"/>
      <c r="T650" s="4"/>
      <c r="U650" s="4"/>
      <c r="V650" s="4"/>
      <c r="W650" s="4"/>
      <c r="X650" s="4"/>
      <c r="Y650" s="4"/>
      <c r="Z650" s="4"/>
      <c r="AA650" s="4"/>
      <c r="AB650" s="4"/>
      <c r="AC650" s="4"/>
      <c r="AD650" s="4"/>
    </row>
    <row r="651" ht="13.5" customHeight="1" spans="1:30" x14ac:dyDescent="0.25">
      <c r="A651" s="4"/>
      <c r="B651" s="4"/>
      <c r="E651" s="4"/>
      <c r="F651" s="4"/>
      <c r="G651" s="4"/>
      <c r="H651" s="4"/>
      <c r="I651" s="4"/>
      <c r="J651" s="4"/>
      <c r="K651" s="4"/>
      <c r="L651" s="4"/>
      <c r="M651" s="4"/>
      <c r="N651" s="4"/>
      <c r="O651" s="4"/>
      <c r="P651" s="4"/>
      <c r="T651" s="4"/>
      <c r="U651" s="4"/>
      <c r="V651" s="4"/>
      <c r="W651" s="4"/>
      <c r="X651" s="4"/>
      <c r="Y651" s="4"/>
      <c r="Z651" s="4"/>
      <c r="AA651" s="4"/>
      <c r="AB651" s="4"/>
      <c r="AC651" s="4"/>
      <c r="AD651" s="4"/>
    </row>
    <row r="652" ht="13.5" customHeight="1" spans="1:30" x14ac:dyDescent="0.25">
      <c r="A652" s="4"/>
      <c r="B652" s="4"/>
      <c r="E652" s="4"/>
      <c r="F652" s="4"/>
      <c r="G652" s="4"/>
      <c r="H652" s="4"/>
      <c r="I652" s="4"/>
      <c r="J652" s="4"/>
      <c r="K652" s="4"/>
      <c r="L652" s="4"/>
      <c r="M652" s="4"/>
      <c r="N652" s="4"/>
      <c r="O652" s="4"/>
      <c r="P652" s="4"/>
      <c r="T652" s="4"/>
      <c r="U652" s="4"/>
      <c r="V652" s="4"/>
      <c r="W652" s="4"/>
      <c r="X652" s="4"/>
      <c r="Y652" s="4"/>
      <c r="Z652" s="4"/>
      <c r="AA652" s="4"/>
      <c r="AB652" s="4"/>
      <c r="AC652" s="4"/>
      <c r="AD652" s="4"/>
    </row>
    <row r="653" ht="13.5" customHeight="1" spans="1:30" x14ac:dyDescent="0.25">
      <c r="A653" s="4"/>
      <c r="B653" s="4"/>
      <c r="E653" s="4"/>
      <c r="F653" s="4"/>
      <c r="G653" s="4"/>
      <c r="H653" s="4"/>
      <c r="I653" s="4"/>
      <c r="J653" s="4"/>
      <c r="K653" s="4"/>
      <c r="L653" s="4"/>
      <c r="M653" s="4"/>
      <c r="N653" s="4"/>
      <c r="O653" s="4"/>
      <c r="P653" s="4"/>
      <c r="T653" s="4"/>
      <c r="U653" s="4"/>
      <c r="V653" s="4"/>
      <c r="W653" s="4"/>
      <c r="X653" s="4"/>
      <c r="Y653" s="4"/>
      <c r="Z653" s="4"/>
      <c r="AA653" s="4"/>
      <c r="AB653" s="4"/>
      <c r="AC653" s="4"/>
      <c r="AD653" s="4"/>
    </row>
    <row r="654" ht="13.5" customHeight="1" spans="1:30" x14ac:dyDescent="0.25">
      <c r="A654" s="4"/>
      <c r="B654" s="4"/>
      <c r="E654" s="4"/>
      <c r="F654" s="4"/>
      <c r="G654" s="4"/>
      <c r="H654" s="4"/>
      <c r="I654" s="4"/>
      <c r="J654" s="4"/>
      <c r="K654" s="4"/>
      <c r="L654" s="4"/>
      <c r="M654" s="4"/>
      <c r="N654" s="4"/>
      <c r="O654" s="4"/>
      <c r="P654" s="4"/>
      <c r="T654" s="4"/>
      <c r="U654" s="4"/>
      <c r="V654" s="4"/>
      <c r="W654" s="4"/>
      <c r="X654" s="4"/>
      <c r="Y654" s="4"/>
      <c r="Z654" s="4"/>
      <c r="AA654" s="4"/>
      <c r="AB654" s="4"/>
      <c r="AC654" s="4"/>
      <c r="AD654" s="4"/>
    </row>
    <row r="655" ht="13.5" customHeight="1" spans="1:30" x14ac:dyDescent="0.25">
      <c r="A655" s="4"/>
      <c r="B655" s="4"/>
      <c r="E655" s="4"/>
      <c r="F655" s="4"/>
      <c r="G655" s="4"/>
      <c r="H655" s="4"/>
      <c r="I655" s="4"/>
      <c r="J655" s="4"/>
      <c r="K655" s="4"/>
      <c r="L655" s="4"/>
      <c r="M655" s="4"/>
      <c r="N655" s="4"/>
      <c r="O655" s="4"/>
      <c r="P655" s="4"/>
      <c r="T655" s="4"/>
      <c r="U655" s="4"/>
      <c r="V655" s="4"/>
      <c r="W655" s="4"/>
      <c r="X655" s="4"/>
      <c r="Y655" s="4"/>
      <c r="Z655" s="4"/>
      <c r="AA655" s="4"/>
      <c r="AB655" s="4"/>
      <c r="AC655" s="4"/>
      <c r="AD655" s="4"/>
    </row>
    <row r="656" ht="13.5" customHeight="1" spans="1:30" x14ac:dyDescent="0.25">
      <c r="A656" s="4"/>
      <c r="B656" s="4"/>
      <c r="E656" s="4"/>
      <c r="F656" s="4"/>
      <c r="G656" s="4"/>
      <c r="H656" s="4"/>
      <c r="I656" s="4"/>
      <c r="J656" s="4"/>
      <c r="K656" s="4"/>
      <c r="L656" s="4"/>
      <c r="M656" s="4"/>
      <c r="N656" s="4"/>
      <c r="O656" s="4"/>
      <c r="P656" s="4"/>
      <c r="T656" s="4"/>
      <c r="U656" s="4"/>
      <c r="V656" s="4"/>
      <c r="W656" s="4"/>
      <c r="X656" s="4"/>
      <c r="Y656" s="4"/>
      <c r="Z656" s="4"/>
      <c r="AA656" s="4"/>
      <c r="AB656" s="4"/>
      <c r="AC656" s="4"/>
      <c r="AD656" s="4"/>
    </row>
    <row r="657" ht="13.5" customHeight="1" spans="1:30" x14ac:dyDescent="0.25">
      <c r="A657" s="4"/>
      <c r="B657" s="4"/>
      <c r="E657" s="4"/>
      <c r="F657" s="4"/>
      <c r="G657" s="4"/>
      <c r="H657" s="4"/>
      <c r="I657" s="4"/>
      <c r="J657" s="4"/>
      <c r="K657" s="4"/>
      <c r="L657" s="4"/>
      <c r="M657" s="4"/>
      <c r="N657" s="4"/>
      <c r="O657" s="4"/>
      <c r="P657" s="4"/>
      <c r="T657" s="4"/>
      <c r="U657" s="4"/>
      <c r="V657" s="4"/>
      <c r="W657" s="4"/>
      <c r="X657" s="4"/>
      <c r="Y657" s="4"/>
      <c r="Z657" s="4"/>
      <c r="AA657" s="4"/>
      <c r="AB657" s="4"/>
      <c r="AC657" s="4"/>
      <c r="AD657" s="4"/>
    </row>
    <row r="658" ht="13.5" customHeight="1" spans="1:30" x14ac:dyDescent="0.25">
      <c r="A658" s="4"/>
      <c r="B658" s="4"/>
      <c r="E658" s="4"/>
      <c r="F658" s="4"/>
      <c r="G658" s="4"/>
      <c r="H658" s="4"/>
      <c r="I658" s="4"/>
      <c r="J658" s="4"/>
      <c r="K658" s="4"/>
      <c r="L658" s="4"/>
      <c r="M658" s="4"/>
      <c r="N658" s="4"/>
      <c r="O658" s="4"/>
      <c r="P658" s="4"/>
      <c r="T658" s="4"/>
      <c r="U658" s="4"/>
      <c r="V658" s="4"/>
      <c r="W658" s="4"/>
      <c r="X658" s="4"/>
      <c r="Y658" s="4"/>
      <c r="Z658" s="4"/>
      <c r="AA658" s="4"/>
      <c r="AB658" s="4"/>
      <c r="AC658" s="4"/>
      <c r="AD658" s="4"/>
    </row>
    <row r="659" ht="13.5" customHeight="1" spans="1:30" x14ac:dyDescent="0.25">
      <c r="A659" s="4"/>
      <c r="B659" s="4"/>
      <c r="E659" s="4"/>
      <c r="F659" s="4"/>
      <c r="G659" s="4"/>
      <c r="H659" s="4"/>
      <c r="I659" s="4"/>
      <c r="J659" s="4"/>
      <c r="K659" s="4"/>
      <c r="L659" s="4"/>
      <c r="M659" s="4"/>
      <c r="N659" s="4"/>
      <c r="O659" s="4"/>
      <c r="P659" s="4"/>
      <c r="T659" s="4"/>
      <c r="U659" s="4"/>
      <c r="V659" s="4"/>
      <c r="W659" s="4"/>
      <c r="X659" s="4"/>
      <c r="Y659" s="4"/>
      <c r="Z659" s="4"/>
      <c r="AA659" s="4"/>
      <c r="AB659" s="4"/>
      <c r="AC659" s="4"/>
      <c r="AD659" s="4"/>
    </row>
    <row r="660" ht="13.5" customHeight="1" spans="1:30" x14ac:dyDescent="0.25">
      <c r="A660" s="4"/>
      <c r="B660" s="4"/>
      <c r="E660" s="4"/>
      <c r="F660" s="4"/>
      <c r="G660" s="4"/>
      <c r="H660" s="4"/>
      <c r="I660" s="4"/>
      <c r="J660" s="4"/>
      <c r="K660" s="4"/>
      <c r="L660" s="4"/>
      <c r="M660" s="4"/>
      <c r="N660" s="4"/>
      <c r="O660" s="4"/>
      <c r="P660" s="4"/>
      <c r="T660" s="4"/>
      <c r="U660" s="4"/>
      <c r="V660" s="4"/>
      <c r="W660" s="4"/>
      <c r="X660" s="4"/>
      <c r="Y660" s="4"/>
      <c r="Z660" s="4"/>
      <c r="AA660" s="4"/>
      <c r="AB660" s="4"/>
      <c r="AC660" s="4"/>
      <c r="AD660" s="4"/>
    </row>
    <row r="661" ht="13.5" customHeight="1" spans="1:30" x14ac:dyDescent="0.25">
      <c r="A661" s="4"/>
      <c r="B661" s="4"/>
      <c r="E661" s="4"/>
      <c r="F661" s="4"/>
      <c r="G661" s="4"/>
      <c r="H661" s="4"/>
      <c r="I661" s="4"/>
      <c r="J661" s="4"/>
      <c r="K661" s="4"/>
      <c r="L661" s="4"/>
      <c r="M661" s="4"/>
      <c r="N661" s="4"/>
      <c r="O661" s="4"/>
      <c r="P661" s="4"/>
      <c r="T661" s="4"/>
      <c r="U661" s="4"/>
      <c r="V661" s="4"/>
      <c r="W661" s="4"/>
      <c r="X661" s="4"/>
      <c r="Y661" s="4"/>
      <c r="Z661" s="4"/>
      <c r="AA661" s="4"/>
      <c r="AB661" s="4"/>
      <c r="AC661" s="4"/>
      <c r="AD661" s="4"/>
    </row>
    <row r="662" ht="13.5" customHeight="1" spans="1:30" x14ac:dyDescent="0.25">
      <c r="A662" s="4"/>
      <c r="B662" s="4"/>
      <c r="E662" s="4"/>
      <c r="F662" s="4"/>
      <c r="G662" s="4"/>
      <c r="H662" s="4"/>
      <c r="I662" s="4"/>
      <c r="J662" s="4"/>
      <c r="K662" s="4"/>
      <c r="L662" s="4"/>
      <c r="M662" s="4"/>
      <c r="N662" s="4"/>
      <c r="O662" s="4"/>
      <c r="P662" s="4"/>
      <c r="T662" s="4"/>
      <c r="U662" s="4"/>
      <c r="V662" s="4"/>
      <c r="W662" s="4"/>
      <c r="X662" s="4"/>
      <c r="Y662" s="4"/>
      <c r="Z662" s="4"/>
      <c r="AA662" s="4"/>
      <c r="AB662" s="4"/>
      <c r="AC662" s="4"/>
      <c r="AD662" s="4"/>
    </row>
    <row r="663" ht="13.5" customHeight="1" spans="1:30" x14ac:dyDescent="0.25">
      <c r="A663" s="4"/>
      <c r="B663" s="4"/>
      <c r="E663" s="4"/>
      <c r="F663" s="4"/>
      <c r="G663" s="4"/>
      <c r="H663" s="4"/>
      <c r="I663" s="4"/>
      <c r="J663" s="4"/>
      <c r="K663" s="4"/>
      <c r="L663" s="4"/>
      <c r="M663" s="4"/>
      <c r="N663" s="4"/>
      <c r="O663" s="4"/>
      <c r="P663" s="4"/>
      <c r="T663" s="4"/>
      <c r="U663" s="4"/>
      <c r="V663" s="4"/>
      <c r="W663" s="4"/>
      <c r="X663" s="4"/>
      <c r="Y663" s="4"/>
      <c r="Z663" s="4"/>
      <c r="AA663" s="4"/>
      <c r="AB663" s="4"/>
      <c r="AC663" s="4"/>
      <c r="AD663" s="4"/>
    </row>
    <row r="664" ht="13.5" customHeight="1" spans="1:30" x14ac:dyDescent="0.25">
      <c r="A664" s="4"/>
      <c r="B664" s="4"/>
      <c r="E664" s="4"/>
      <c r="F664" s="4"/>
      <c r="G664" s="4"/>
      <c r="H664" s="4"/>
      <c r="I664" s="4"/>
      <c r="J664" s="4"/>
      <c r="K664" s="4"/>
      <c r="L664" s="4"/>
      <c r="M664" s="4"/>
      <c r="N664" s="4"/>
      <c r="O664" s="4"/>
      <c r="P664" s="4"/>
      <c r="T664" s="4"/>
      <c r="U664" s="4"/>
      <c r="V664" s="4"/>
      <c r="W664" s="4"/>
      <c r="X664" s="4"/>
      <c r="Y664" s="4"/>
      <c r="Z664" s="4"/>
      <c r="AA664" s="4"/>
      <c r="AB664" s="4"/>
      <c r="AC664" s="4"/>
      <c r="AD664" s="4"/>
    </row>
    <row r="665" ht="13.5" customHeight="1" spans="1:30" x14ac:dyDescent="0.25">
      <c r="A665" s="4"/>
      <c r="B665" s="4"/>
      <c r="E665" s="4"/>
      <c r="F665" s="4"/>
      <c r="G665" s="4"/>
      <c r="H665" s="4"/>
      <c r="I665" s="4"/>
      <c r="J665" s="4"/>
      <c r="K665" s="4"/>
      <c r="L665" s="4"/>
      <c r="M665" s="4"/>
      <c r="N665" s="4"/>
      <c r="O665" s="4"/>
      <c r="P665" s="4"/>
      <c r="T665" s="4"/>
      <c r="U665" s="4"/>
      <c r="V665" s="4"/>
      <c r="W665" s="4"/>
      <c r="X665" s="4"/>
      <c r="Y665" s="4"/>
      <c r="Z665" s="4"/>
      <c r="AA665" s="4"/>
      <c r="AB665" s="4"/>
      <c r="AC665" s="4"/>
      <c r="AD665" s="4"/>
    </row>
    <row r="666" ht="13.5" customHeight="1" spans="1:30" x14ac:dyDescent="0.25">
      <c r="A666" s="4"/>
      <c r="B666" s="4"/>
      <c r="E666" s="4"/>
      <c r="F666" s="4"/>
      <c r="G666" s="4"/>
      <c r="H666" s="4"/>
      <c r="I666" s="4"/>
      <c r="J666" s="4"/>
      <c r="K666" s="4"/>
      <c r="L666" s="4"/>
      <c r="M666" s="4"/>
      <c r="N666" s="4"/>
      <c r="O666" s="4"/>
      <c r="P666" s="4"/>
      <c r="T666" s="4"/>
      <c r="U666" s="4"/>
      <c r="V666" s="4"/>
      <c r="W666" s="4"/>
      <c r="X666" s="4"/>
      <c r="Y666" s="4"/>
      <c r="Z666" s="4"/>
      <c r="AA666" s="4"/>
      <c r="AB666" s="4"/>
      <c r="AC666" s="4"/>
      <c r="AD666" s="4"/>
    </row>
    <row r="667" ht="13.5" customHeight="1" spans="1:30" x14ac:dyDescent="0.25">
      <c r="A667" s="4"/>
      <c r="B667" s="4"/>
      <c r="E667" s="4"/>
      <c r="F667" s="4"/>
      <c r="G667" s="4"/>
      <c r="H667" s="4"/>
      <c r="I667" s="4"/>
      <c r="J667" s="4"/>
      <c r="K667" s="4"/>
      <c r="L667" s="4"/>
      <c r="M667" s="4"/>
      <c r="N667" s="4"/>
      <c r="O667" s="4"/>
      <c r="P667" s="4"/>
      <c r="T667" s="4"/>
      <c r="U667" s="4"/>
      <c r="V667" s="4"/>
      <c r="W667" s="4"/>
      <c r="X667" s="4"/>
      <c r="Y667" s="4"/>
      <c r="Z667" s="4"/>
      <c r="AA667" s="4"/>
      <c r="AB667" s="4"/>
      <c r="AC667" s="4"/>
      <c r="AD667" s="4"/>
    </row>
    <row r="668" ht="13.5" customHeight="1" spans="1:30" x14ac:dyDescent="0.25">
      <c r="A668" s="4"/>
      <c r="B668" s="4"/>
      <c r="E668" s="4"/>
      <c r="F668" s="4"/>
      <c r="G668" s="4"/>
      <c r="H668" s="4"/>
      <c r="I668" s="4"/>
      <c r="J668" s="4"/>
      <c r="K668" s="4"/>
      <c r="L668" s="4"/>
      <c r="M668" s="4"/>
      <c r="N668" s="4"/>
      <c r="O668" s="4"/>
      <c r="P668" s="4"/>
      <c r="T668" s="4"/>
      <c r="U668" s="4"/>
      <c r="V668" s="4"/>
      <c r="W668" s="4"/>
      <c r="X668" s="4"/>
      <c r="Y668" s="4"/>
      <c r="Z668" s="4"/>
      <c r="AA668" s="4"/>
      <c r="AB668" s="4"/>
      <c r="AC668" s="4"/>
      <c r="AD668" s="4"/>
    </row>
    <row r="669" ht="13.5" customHeight="1" spans="1:30" x14ac:dyDescent="0.25">
      <c r="A669" s="4"/>
      <c r="B669" s="4"/>
      <c r="E669" s="4"/>
      <c r="F669" s="4"/>
      <c r="G669" s="4"/>
      <c r="H669" s="4"/>
      <c r="I669" s="4"/>
      <c r="J669" s="4"/>
      <c r="K669" s="4"/>
      <c r="L669" s="4"/>
      <c r="M669" s="4"/>
      <c r="N669" s="4"/>
      <c r="O669" s="4"/>
      <c r="P669" s="4"/>
      <c r="T669" s="4"/>
      <c r="U669" s="4"/>
      <c r="V669" s="4"/>
      <c r="W669" s="4"/>
      <c r="X669" s="4"/>
      <c r="Y669" s="4"/>
      <c r="Z669" s="4"/>
      <c r="AA669" s="4"/>
      <c r="AB669" s="4"/>
      <c r="AC669" s="4"/>
      <c r="AD669" s="4"/>
    </row>
    <row r="670" ht="13.5" customHeight="1" spans="1:30" x14ac:dyDescent="0.25">
      <c r="A670" s="4"/>
      <c r="B670" s="4"/>
      <c r="E670" s="4"/>
      <c r="F670" s="4"/>
      <c r="G670" s="4"/>
      <c r="H670" s="4"/>
      <c r="I670" s="4"/>
      <c r="J670" s="4"/>
      <c r="K670" s="4"/>
      <c r="L670" s="4"/>
      <c r="M670" s="4"/>
      <c r="N670" s="4"/>
      <c r="O670" s="4"/>
      <c r="P670" s="4"/>
      <c r="T670" s="4"/>
      <c r="U670" s="4"/>
      <c r="V670" s="4"/>
      <c r="W670" s="4"/>
      <c r="X670" s="4"/>
      <c r="Y670" s="4"/>
      <c r="Z670" s="4"/>
      <c r="AA670" s="4"/>
      <c r="AB670" s="4"/>
      <c r="AC670" s="4"/>
      <c r="AD670" s="4"/>
    </row>
    <row r="671" ht="13.5" customHeight="1" spans="1:30" x14ac:dyDescent="0.25">
      <c r="A671" s="4"/>
      <c r="B671" s="4"/>
      <c r="E671" s="4"/>
      <c r="F671" s="4"/>
      <c r="G671" s="4"/>
      <c r="H671" s="4"/>
      <c r="I671" s="4"/>
      <c r="J671" s="4"/>
      <c r="K671" s="4"/>
      <c r="L671" s="4"/>
      <c r="M671" s="4"/>
      <c r="N671" s="4"/>
      <c r="O671" s="4"/>
      <c r="P671" s="4"/>
      <c r="T671" s="4"/>
      <c r="U671" s="4"/>
      <c r="V671" s="4"/>
      <c r="W671" s="4"/>
      <c r="X671" s="4"/>
      <c r="Y671" s="4"/>
      <c r="Z671" s="4"/>
      <c r="AA671" s="4"/>
      <c r="AB671" s="4"/>
      <c r="AC671" s="4"/>
      <c r="AD671" s="4"/>
    </row>
    <row r="672" ht="13.5" customHeight="1" spans="1:30" x14ac:dyDescent="0.25">
      <c r="A672" s="4"/>
      <c r="B672" s="4"/>
      <c r="E672" s="4"/>
      <c r="F672" s="4"/>
      <c r="G672" s="4"/>
      <c r="H672" s="4"/>
      <c r="I672" s="4"/>
      <c r="J672" s="4"/>
      <c r="K672" s="4"/>
      <c r="L672" s="4"/>
      <c r="M672" s="4"/>
      <c r="N672" s="4"/>
      <c r="O672" s="4"/>
      <c r="P672" s="4"/>
      <c r="T672" s="4"/>
      <c r="U672" s="4"/>
      <c r="V672" s="4"/>
      <c r="W672" s="4"/>
      <c r="X672" s="4"/>
      <c r="Y672" s="4"/>
      <c r="Z672" s="4"/>
      <c r="AA672" s="4"/>
      <c r="AB672" s="4"/>
      <c r="AC672" s="4"/>
      <c r="AD672" s="4"/>
    </row>
    <row r="673" ht="13.5" customHeight="1" spans="1:30" x14ac:dyDescent="0.25">
      <c r="A673" s="4"/>
      <c r="B673" s="4"/>
      <c r="E673" s="4"/>
      <c r="F673" s="4"/>
      <c r="G673" s="4"/>
      <c r="H673" s="4"/>
      <c r="I673" s="4"/>
      <c r="J673" s="4"/>
      <c r="K673" s="4"/>
      <c r="L673" s="4"/>
      <c r="M673" s="4"/>
      <c r="N673" s="4"/>
      <c r="O673" s="4"/>
      <c r="P673" s="4"/>
      <c r="T673" s="4"/>
      <c r="U673" s="4"/>
      <c r="V673" s="4"/>
      <c r="W673" s="4"/>
      <c r="X673" s="4"/>
      <c r="Y673" s="4"/>
      <c r="Z673" s="4"/>
      <c r="AA673" s="4"/>
      <c r="AB673" s="4"/>
      <c r="AC673" s="4"/>
      <c r="AD673" s="4"/>
    </row>
    <row r="674" ht="13.5" customHeight="1" spans="1:30" x14ac:dyDescent="0.25">
      <c r="A674" s="4"/>
      <c r="B674" s="4"/>
      <c r="E674" s="4"/>
      <c r="F674" s="4"/>
      <c r="G674" s="4"/>
      <c r="H674" s="4"/>
      <c r="I674" s="4"/>
      <c r="J674" s="4"/>
      <c r="K674" s="4"/>
      <c r="L674" s="4"/>
      <c r="M674" s="4"/>
      <c r="N674" s="4"/>
      <c r="O674" s="4"/>
      <c r="P674" s="4"/>
      <c r="T674" s="4"/>
      <c r="U674" s="4"/>
      <c r="V674" s="4"/>
      <c r="W674" s="4"/>
      <c r="X674" s="4"/>
      <c r="Y674" s="4"/>
      <c r="Z674" s="4"/>
      <c r="AA674" s="4"/>
      <c r="AB674" s="4"/>
      <c r="AC674" s="4"/>
      <c r="AD674" s="4"/>
    </row>
    <row r="675" ht="13.5" customHeight="1" spans="1:30" x14ac:dyDescent="0.25">
      <c r="A675" s="4"/>
      <c r="B675" s="4"/>
      <c r="E675" s="4"/>
      <c r="F675" s="4"/>
      <c r="G675" s="4"/>
      <c r="H675" s="4"/>
      <c r="I675" s="4"/>
      <c r="J675" s="4"/>
      <c r="K675" s="4"/>
      <c r="L675" s="4"/>
      <c r="M675" s="4"/>
      <c r="N675" s="4"/>
      <c r="O675" s="4"/>
      <c r="P675" s="4"/>
      <c r="T675" s="4"/>
      <c r="U675" s="4"/>
      <c r="V675" s="4"/>
      <c r="W675" s="4"/>
      <c r="X675" s="4"/>
      <c r="Y675" s="4"/>
      <c r="Z675" s="4"/>
      <c r="AA675" s="4"/>
      <c r="AB675" s="4"/>
      <c r="AC675" s="4"/>
      <c r="AD675" s="4"/>
    </row>
    <row r="676" ht="13.5" customHeight="1" spans="1:30" x14ac:dyDescent="0.25">
      <c r="A676" s="4"/>
      <c r="B676" s="4"/>
      <c r="E676" s="4"/>
      <c r="F676" s="4"/>
      <c r="G676" s="4"/>
      <c r="H676" s="4"/>
      <c r="I676" s="4"/>
      <c r="J676" s="4"/>
      <c r="K676" s="4"/>
      <c r="L676" s="4"/>
      <c r="M676" s="4"/>
      <c r="N676" s="4"/>
      <c r="O676" s="4"/>
      <c r="P676" s="4"/>
      <c r="T676" s="4"/>
      <c r="U676" s="4"/>
      <c r="V676" s="4"/>
      <c r="W676" s="4"/>
      <c r="X676" s="4"/>
      <c r="Y676" s="4"/>
      <c r="Z676" s="4"/>
      <c r="AA676" s="4"/>
      <c r="AB676" s="4"/>
      <c r="AC676" s="4"/>
      <c r="AD676" s="4"/>
    </row>
    <row r="677" ht="13.5" customHeight="1" spans="1:30" x14ac:dyDescent="0.25">
      <c r="A677" s="4"/>
      <c r="B677" s="4"/>
      <c r="E677" s="4"/>
      <c r="F677" s="4"/>
      <c r="G677" s="4"/>
      <c r="H677" s="4"/>
      <c r="I677" s="4"/>
      <c r="J677" s="4"/>
      <c r="K677" s="4"/>
      <c r="L677" s="4"/>
      <c r="M677" s="4"/>
      <c r="N677" s="4"/>
      <c r="O677" s="4"/>
      <c r="P677" s="4"/>
      <c r="T677" s="4"/>
      <c r="U677" s="4"/>
      <c r="V677" s="4"/>
      <c r="W677" s="4"/>
      <c r="X677" s="4"/>
      <c r="Y677" s="4"/>
      <c r="Z677" s="4"/>
      <c r="AA677" s="4"/>
      <c r="AB677" s="4"/>
      <c r="AC677" s="4"/>
      <c r="AD677" s="4"/>
    </row>
    <row r="678" ht="13.5" customHeight="1" spans="1:30" x14ac:dyDescent="0.25">
      <c r="A678" s="4"/>
      <c r="B678" s="4"/>
      <c r="E678" s="4"/>
      <c r="F678" s="4"/>
      <c r="G678" s="4"/>
      <c r="H678" s="4"/>
      <c r="I678" s="4"/>
      <c r="J678" s="4"/>
      <c r="K678" s="4"/>
      <c r="L678" s="4"/>
      <c r="M678" s="4"/>
      <c r="N678" s="4"/>
      <c r="O678" s="4"/>
      <c r="P678" s="4"/>
      <c r="T678" s="4"/>
      <c r="U678" s="4"/>
      <c r="V678" s="4"/>
      <c r="W678" s="4"/>
      <c r="X678" s="4"/>
      <c r="Y678" s="4"/>
      <c r="Z678" s="4"/>
      <c r="AA678" s="4"/>
      <c r="AB678" s="4"/>
      <c r="AC678" s="4"/>
      <c r="AD678" s="4"/>
    </row>
    <row r="679" ht="13.5" customHeight="1" spans="1:30" x14ac:dyDescent="0.25">
      <c r="A679" s="4"/>
      <c r="B679" s="4"/>
      <c r="E679" s="4"/>
      <c r="F679" s="4"/>
      <c r="G679" s="4"/>
      <c r="H679" s="4"/>
      <c r="I679" s="4"/>
      <c r="J679" s="4"/>
      <c r="K679" s="4"/>
      <c r="L679" s="4"/>
      <c r="M679" s="4"/>
      <c r="N679" s="4"/>
      <c r="O679" s="4"/>
      <c r="P679" s="4"/>
      <c r="T679" s="4"/>
      <c r="U679" s="4"/>
      <c r="V679" s="4"/>
      <c r="W679" s="4"/>
      <c r="X679" s="4"/>
      <c r="Y679" s="4"/>
      <c r="Z679" s="4"/>
      <c r="AA679" s="4"/>
      <c r="AB679" s="4"/>
      <c r="AC679" s="4"/>
      <c r="AD679" s="4"/>
    </row>
    <row r="680" ht="13.5" customHeight="1" spans="1:30" x14ac:dyDescent="0.25">
      <c r="A680" s="4"/>
      <c r="B680" s="4"/>
      <c r="E680" s="4"/>
      <c r="F680" s="4"/>
      <c r="G680" s="4"/>
      <c r="H680" s="4"/>
      <c r="I680" s="4"/>
      <c r="J680" s="4"/>
      <c r="K680" s="4"/>
      <c r="L680" s="4"/>
      <c r="M680" s="4"/>
      <c r="N680" s="4"/>
      <c r="O680" s="4"/>
      <c r="P680" s="4"/>
      <c r="T680" s="4"/>
      <c r="U680" s="4"/>
      <c r="V680" s="4"/>
      <c r="W680" s="4"/>
      <c r="X680" s="4"/>
      <c r="Y680" s="4"/>
      <c r="Z680" s="4"/>
      <c r="AA680" s="4"/>
      <c r="AB680" s="4"/>
      <c r="AC680" s="4"/>
      <c r="AD680" s="4"/>
    </row>
    <row r="681" ht="13.5" customHeight="1" spans="1:30" x14ac:dyDescent="0.25">
      <c r="A681" s="4"/>
      <c r="B681" s="4"/>
      <c r="E681" s="4"/>
      <c r="F681" s="4"/>
      <c r="G681" s="4"/>
      <c r="H681" s="4"/>
      <c r="I681" s="4"/>
      <c r="J681" s="4"/>
      <c r="K681" s="4"/>
      <c r="L681" s="4"/>
      <c r="M681" s="4"/>
      <c r="N681" s="4"/>
      <c r="O681" s="4"/>
      <c r="P681" s="4"/>
      <c r="T681" s="4"/>
      <c r="U681" s="4"/>
      <c r="V681" s="4"/>
      <c r="W681" s="4"/>
      <c r="X681" s="4"/>
      <c r="Y681" s="4"/>
      <c r="Z681" s="4"/>
      <c r="AA681" s="4"/>
      <c r="AB681" s="4"/>
      <c r="AC681" s="4"/>
      <c r="AD681" s="4"/>
    </row>
    <row r="682" ht="13.5" customHeight="1" spans="1:30" x14ac:dyDescent="0.25">
      <c r="A682" s="4"/>
      <c r="B682" s="4"/>
      <c r="E682" s="4"/>
      <c r="F682" s="4"/>
      <c r="G682" s="4"/>
      <c r="H682" s="4"/>
      <c r="I682" s="4"/>
      <c r="J682" s="4"/>
      <c r="K682" s="4"/>
      <c r="L682" s="4"/>
      <c r="M682" s="4"/>
      <c r="N682" s="4"/>
      <c r="O682" s="4"/>
      <c r="P682" s="4"/>
      <c r="T682" s="4"/>
      <c r="U682" s="4"/>
      <c r="V682" s="4"/>
      <c r="W682" s="4"/>
      <c r="X682" s="4"/>
      <c r="Y682" s="4"/>
      <c r="Z682" s="4"/>
      <c r="AA682" s="4"/>
      <c r="AB682" s="4"/>
      <c r="AC682" s="4"/>
      <c r="AD682" s="4"/>
    </row>
    <row r="683" ht="13.5" customHeight="1" spans="1:30" x14ac:dyDescent="0.25">
      <c r="A683" s="4"/>
      <c r="B683" s="4"/>
      <c r="E683" s="4"/>
      <c r="F683" s="4"/>
      <c r="G683" s="4"/>
      <c r="H683" s="4"/>
      <c r="I683" s="4"/>
      <c r="J683" s="4"/>
      <c r="K683" s="4"/>
      <c r="L683" s="4"/>
      <c r="M683" s="4"/>
      <c r="N683" s="4"/>
      <c r="O683" s="4"/>
      <c r="P683" s="4"/>
      <c r="T683" s="4"/>
      <c r="U683" s="4"/>
      <c r="V683" s="4"/>
      <c r="W683" s="4"/>
      <c r="X683" s="4"/>
      <c r="Y683" s="4"/>
      <c r="Z683" s="4"/>
      <c r="AA683" s="4"/>
      <c r="AB683" s="4"/>
      <c r="AC683" s="4"/>
      <c r="AD683" s="4"/>
    </row>
    <row r="684" ht="13.5" customHeight="1" spans="1:30" x14ac:dyDescent="0.25">
      <c r="A684" s="4"/>
      <c r="B684" s="4"/>
      <c r="E684" s="4"/>
      <c r="F684" s="4"/>
      <c r="G684" s="4"/>
      <c r="H684" s="4"/>
      <c r="I684" s="4"/>
      <c r="J684" s="4"/>
      <c r="K684" s="4"/>
      <c r="L684" s="4"/>
      <c r="M684" s="4"/>
      <c r="N684" s="4"/>
      <c r="O684" s="4"/>
      <c r="P684" s="4"/>
      <c r="T684" s="4"/>
      <c r="U684" s="4"/>
      <c r="V684" s="4"/>
      <c r="W684" s="4"/>
      <c r="X684" s="4"/>
      <c r="Y684" s="4"/>
      <c r="Z684" s="4"/>
      <c r="AA684" s="4"/>
      <c r="AB684" s="4"/>
      <c r="AC684" s="4"/>
      <c r="AD684" s="4"/>
    </row>
    <row r="685" ht="13.5" customHeight="1" spans="1:30" x14ac:dyDescent="0.25">
      <c r="A685" s="4"/>
      <c r="B685" s="4"/>
      <c r="E685" s="4"/>
      <c r="F685" s="4"/>
      <c r="G685" s="4"/>
      <c r="H685" s="4"/>
      <c r="I685" s="4"/>
      <c r="J685" s="4"/>
      <c r="K685" s="4"/>
      <c r="L685" s="4"/>
      <c r="M685" s="4"/>
      <c r="N685" s="4"/>
      <c r="O685" s="4"/>
      <c r="P685" s="4"/>
      <c r="T685" s="4"/>
      <c r="U685" s="4"/>
      <c r="V685" s="4"/>
      <c r="W685" s="4"/>
      <c r="X685" s="4"/>
      <c r="Y685" s="4"/>
      <c r="Z685" s="4"/>
      <c r="AA685" s="4"/>
      <c r="AB685" s="4"/>
      <c r="AC685" s="4"/>
      <c r="AD685" s="4"/>
    </row>
    <row r="686" ht="13.5" customHeight="1" spans="1:30" x14ac:dyDescent="0.25">
      <c r="A686" s="4"/>
      <c r="B686" s="4"/>
      <c r="E686" s="4"/>
      <c r="F686" s="4"/>
      <c r="G686" s="4"/>
      <c r="H686" s="4"/>
      <c r="I686" s="4"/>
      <c r="J686" s="4"/>
      <c r="K686" s="4"/>
      <c r="L686" s="4"/>
      <c r="M686" s="4"/>
      <c r="N686" s="4"/>
      <c r="O686" s="4"/>
      <c r="P686" s="4"/>
      <c r="T686" s="4"/>
      <c r="U686" s="4"/>
      <c r="V686" s="4"/>
      <c r="W686" s="4"/>
      <c r="X686" s="4"/>
      <c r="Y686" s="4"/>
      <c r="Z686" s="4"/>
      <c r="AA686" s="4"/>
      <c r="AB686" s="4"/>
      <c r="AC686" s="4"/>
      <c r="AD686" s="4"/>
    </row>
    <row r="687" ht="13.5" customHeight="1" spans="1:30" x14ac:dyDescent="0.25">
      <c r="A687" s="4"/>
      <c r="B687" s="4"/>
      <c r="E687" s="4"/>
      <c r="F687" s="4"/>
      <c r="G687" s="4"/>
      <c r="H687" s="4"/>
      <c r="I687" s="4"/>
      <c r="J687" s="4"/>
      <c r="K687" s="4"/>
      <c r="L687" s="4"/>
      <c r="M687" s="4"/>
      <c r="N687" s="4"/>
      <c r="O687" s="4"/>
      <c r="P687" s="4"/>
      <c r="T687" s="4"/>
      <c r="U687" s="4"/>
      <c r="V687" s="4"/>
      <c r="W687" s="4"/>
      <c r="X687" s="4"/>
      <c r="Y687" s="4"/>
      <c r="Z687" s="4"/>
      <c r="AA687" s="4"/>
      <c r="AB687" s="4"/>
      <c r="AC687" s="4"/>
      <c r="AD687" s="4"/>
    </row>
    <row r="688" ht="13.5" customHeight="1" spans="1:30" x14ac:dyDescent="0.25">
      <c r="A688" s="4"/>
      <c r="B688" s="4"/>
      <c r="E688" s="4"/>
      <c r="F688" s="4"/>
      <c r="G688" s="4"/>
      <c r="H688" s="4"/>
      <c r="I688" s="4"/>
      <c r="J688" s="4"/>
      <c r="K688" s="4"/>
      <c r="L688" s="4"/>
      <c r="M688" s="4"/>
      <c r="N688" s="4"/>
      <c r="O688" s="4"/>
      <c r="P688" s="4"/>
      <c r="T688" s="4"/>
      <c r="U688" s="4"/>
      <c r="V688" s="4"/>
      <c r="W688" s="4"/>
      <c r="X688" s="4"/>
      <c r="Y688" s="4"/>
      <c r="Z688" s="4"/>
      <c r="AA688" s="4"/>
      <c r="AB688" s="4"/>
      <c r="AC688" s="4"/>
      <c r="AD688" s="4"/>
    </row>
    <row r="689" ht="13.5" customHeight="1" spans="1:30" x14ac:dyDescent="0.25">
      <c r="A689" s="4"/>
      <c r="B689" s="4"/>
      <c r="E689" s="4"/>
      <c r="F689" s="4"/>
      <c r="G689" s="4"/>
      <c r="H689" s="4"/>
      <c r="I689" s="4"/>
      <c r="J689" s="4"/>
      <c r="K689" s="4"/>
      <c r="L689" s="4"/>
      <c r="M689" s="4"/>
      <c r="N689" s="4"/>
      <c r="O689" s="4"/>
      <c r="P689" s="4"/>
      <c r="T689" s="4"/>
      <c r="U689" s="4"/>
      <c r="V689" s="4"/>
      <c r="W689" s="4"/>
      <c r="X689" s="4"/>
      <c r="Y689" s="4"/>
      <c r="Z689" s="4"/>
      <c r="AA689" s="4"/>
      <c r="AB689" s="4"/>
      <c r="AC689" s="4"/>
      <c r="AD689" s="4"/>
    </row>
    <row r="690" ht="13.5" customHeight="1" spans="1:30" x14ac:dyDescent="0.25">
      <c r="A690" s="4"/>
      <c r="B690" s="4"/>
      <c r="E690" s="4"/>
      <c r="F690" s="4"/>
      <c r="G690" s="4"/>
      <c r="H690" s="4"/>
      <c r="I690" s="4"/>
      <c r="J690" s="4"/>
      <c r="K690" s="4"/>
      <c r="L690" s="4"/>
      <c r="M690" s="4"/>
      <c r="N690" s="4"/>
      <c r="O690" s="4"/>
      <c r="P690" s="4"/>
      <c r="T690" s="4"/>
      <c r="U690" s="4"/>
      <c r="V690" s="4"/>
      <c r="W690" s="4"/>
      <c r="X690" s="4"/>
      <c r="Y690" s="4"/>
      <c r="Z690" s="4"/>
      <c r="AA690" s="4"/>
      <c r="AB690" s="4"/>
      <c r="AC690" s="4"/>
      <c r="AD690" s="4"/>
    </row>
    <row r="691" ht="13.5" customHeight="1" spans="1:30" x14ac:dyDescent="0.25">
      <c r="A691" s="4"/>
      <c r="B691" s="4"/>
      <c r="E691" s="4"/>
      <c r="F691" s="4"/>
      <c r="G691" s="4"/>
      <c r="H691" s="4"/>
      <c r="I691" s="4"/>
      <c r="J691" s="4"/>
      <c r="K691" s="4"/>
      <c r="L691" s="4"/>
      <c r="M691" s="4"/>
      <c r="N691" s="4"/>
      <c r="O691" s="4"/>
      <c r="P691" s="4"/>
      <c r="T691" s="4"/>
      <c r="U691" s="4"/>
      <c r="V691" s="4"/>
      <c r="W691" s="4"/>
      <c r="X691" s="4"/>
      <c r="Y691" s="4"/>
      <c r="Z691" s="4"/>
      <c r="AA691" s="4"/>
      <c r="AB691" s="4"/>
      <c r="AC691" s="4"/>
      <c r="AD691" s="4"/>
    </row>
    <row r="692" ht="13.5" customHeight="1" spans="1:30" x14ac:dyDescent="0.25">
      <c r="A692" s="4"/>
      <c r="B692" s="4"/>
      <c r="E692" s="4"/>
      <c r="F692" s="4"/>
      <c r="G692" s="4"/>
      <c r="H692" s="4"/>
      <c r="I692" s="4"/>
      <c r="J692" s="4"/>
      <c r="K692" s="4"/>
      <c r="L692" s="4"/>
      <c r="M692" s="4"/>
      <c r="N692" s="4"/>
      <c r="O692" s="4"/>
      <c r="P692" s="4"/>
      <c r="T692" s="4"/>
      <c r="U692" s="4"/>
      <c r="V692" s="4"/>
      <c r="W692" s="4"/>
      <c r="X692" s="4"/>
      <c r="Y692" s="4"/>
      <c r="Z692" s="4"/>
      <c r="AA692" s="4"/>
      <c r="AB692" s="4"/>
      <c r="AC692" s="4"/>
      <c r="AD692" s="4"/>
    </row>
    <row r="693" ht="13.5" customHeight="1" spans="1:30" x14ac:dyDescent="0.25">
      <c r="A693" s="4"/>
      <c r="B693" s="4"/>
      <c r="E693" s="4"/>
      <c r="F693" s="4"/>
      <c r="G693" s="4"/>
      <c r="H693" s="4"/>
      <c r="I693" s="4"/>
      <c r="J693" s="4"/>
      <c r="K693" s="4"/>
      <c r="L693" s="4"/>
      <c r="M693" s="4"/>
      <c r="N693" s="4"/>
      <c r="O693" s="4"/>
      <c r="P693" s="4"/>
      <c r="T693" s="4"/>
      <c r="U693" s="4"/>
      <c r="V693" s="4"/>
      <c r="W693" s="4"/>
      <c r="X693" s="4"/>
      <c r="Y693" s="4"/>
      <c r="Z693" s="4"/>
      <c r="AA693" s="4"/>
      <c r="AB693" s="4"/>
      <c r="AC693" s="4"/>
      <c r="AD693" s="4"/>
    </row>
    <row r="694" ht="13.5" customHeight="1" spans="1:30" x14ac:dyDescent="0.25">
      <c r="A694" s="4"/>
      <c r="B694" s="4"/>
      <c r="E694" s="4"/>
      <c r="F694" s="4"/>
      <c r="G694" s="4"/>
      <c r="H694" s="4"/>
      <c r="I694" s="4"/>
      <c r="J694" s="4"/>
      <c r="K694" s="4"/>
      <c r="L694" s="4"/>
      <c r="M694" s="4"/>
      <c r="N694" s="4"/>
      <c r="O694" s="4"/>
      <c r="P694" s="4"/>
      <c r="T694" s="4"/>
      <c r="U694" s="4"/>
      <c r="V694" s="4"/>
      <c r="W694" s="4"/>
      <c r="X694" s="4"/>
      <c r="Y694" s="4"/>
      <c r="Z694" s="4"/>
      <c r="AA694" s="4"/>
      <c r="AB694" s="4"/>
      <c r="AC694" s="4"/>
      <c r="AD694" s="4"/>
    </row>
    <row r="695" ht="13.5" customHeight="1" spans="1:30" x14ac:dyDescent="0.25">
      <c r="A695" s="4"/>
      <c r="B695" s="4"/>
      <c r="E695" s="4"/>
      <c r="F695" s="4"/>
      <c r="G695" s="4"/>
      <c r="H695" s="4"/>
      <c r="I695" s="4"/>
      <c r="J695" s="4"/>
      <c r="K695" s="4"/>
      <c r="L695" s="4"/>
      <c r="M695" s="4"/>
      <c r="N695" s="4"/>
      <c r="O695" s="4"/>
      <c r="P695" s="4"/>
      <c r="T695" s="4"/>
      <c r="U695" s="4"/>
      <c r="V695" s="4"/>
      <c r="W695" s="4"/>
      <c r="X695" s="4"/>
      <c r="Y695" s="4"/>
      <c r="Z695" s="4"/>
      <c r="AA695" s="4"/>
      <c r="AB695" s="4"/>
      <c r="AC695" s="4"/>
      <c r="AD695" s="4"/>
    </row>
    <row r="696" ht="13.5" customHeight="1" spans="1:30" x14ac:dyDescent="0.25">
      <c r="A696" s="4"/>
      <c r="B696" s="4"/>
      <c r="E696" s="4"/>
      <c r="F696" s="4"/>
      <c r="G696" s="4"/>
      <c r="H696" s="4"/>
      <c r="I696" s="4"/>
      <c r="J696" s="4"/>
      <c r="K696" s="4"/>
      <c r="L696" s="4"/>
      <c r="M696" s="4"/>
      <c r="N696" s="4"/>
      <c r="O696" s="4"/>
      <c r="P696" s="4"/>
      <c r="T696" s="4"/>
      <c r="U696" s="4"/>
      <c r="V696" s="4"/>
      <c r="W696" s="4"/>
      <c r="X696" s="4"/>
      <c r="Y696" s="4"/>
      <c r="Z696" s="4"/>
      <c r="AA696" s="4"/>
      <c r="AB696" s="4"/>
      <c r="AC696" s="4"/>
      <c r="AD696" s="4"/>
    </row>
    <row r="697" ht="13.5" customHeight="1" spans="1:30" x14ac:dyDescent="0.25">
      <c r="A697" s="4"/>
      <c r="B697" s="4"/>
      <c r="E697" s="4"/>
      <c r="F697" s="4"/>
      <c r="G697" s="4"/>
      <c r="H697" s="4"/>
      <c r="I697" s="4"/>
      <c r="J697" s="4"/>
      <c r="K697" s="4"/>
      <c r="L697" s="4"/>
      <c r="M697" s="4"/>
      <c r="N697" s="4"/>
      <c r="O697" s="4"/>
      <c r="P697" s="4"/>
      <c r="T697" s="4"/>
      <c r="U697" s="4"/>
      <c r="V697" s="4"/>
      <c r="W697" s="4"/>
      <c r="X697" s="4"/>
      <c r="Y697" s="4"/>
      <c r="Z697" s="4"/>
      <c r="AA697" s="4"/>
      <c r="AB697" s="4"/>
      <c r="AC697" s="4"/>
      <c r="AD697" s="4"/>
    </row>
    <row r="698" ht="13.5" customHeight="1" spans="1:30" x14ac:dyDescent="0.25">
      <c r="A698" s="4"/>
      <c r="B698" s="4"/>
      <c r="E698" s="4"/>
      <c r="F698" s="4"/>
      <c r="G698" s="4"/>
      <c r="H698" s="4"/>
      <c r="I698" s="4"/>
      <c r="J698" s="4"/>
      <c r="K698" s="4"/>
      <c r="L698" s="4"/>
      <c r="M698" s="4"/>
      <c r="N698" s="4"/>
      <c r="O698" s="4"/>
      <c r="P698" s="4"/>
      <c r="T698" s="4"/>
      <c r="U698" s="4"/>
      <c r="V698" s="4"/>
      <c r="W698" s="4"/>
      <c r="X698" s="4"/>
      <c r="Y698" s="4"/>
      <c r="Z698" s="4"/>
      <c r="AA698" s="4"/>
      <c r="AB698" s="4"/>
      <c r="AC698" s="4"/>
      <c r="AD698" s="4"/>
    </row>
    <row r="699" ht="13.5" customHeight="1" spans="1:30" x14ac:dyDescent="0.25">
      <c r="A699" s="4"/>
      <c r="B699" s="4"/>
      <c r="E699" s="4"/>
      <c r="F699" s="4"/>
      <c r="G699" s="4"/>
      <c r="H699" s="4"/>
      <c r="I699" s="4"/>
      <c r="J699" s="4"/>
      <c r="K699" s="4"/>
      <c r="L699" s="4"/>
      <c r="M699" s="4"/>
      <c r="N699" s="4"/>
      <c r="O699" s="4"/>
      <c r="P699" s="4"/>
      <c r="T699" s="4"/>
      <c r="U699" s="4"/>
      <c r="V699" s="4"/>
      <c r="W699" s="4"/>
      <c r="X699" s="4"/>
      <c r="Y699" s="4"/>
      <c r="Z699" s="4"/>
      <c r="AA699" s="4"/>
      <c r="AB699" s="4"/>
      <c r="AC699" s="4"/>
      <c r="AD699" s="4"/>
    </row>
    <row r="700" ht="13.5" customHeight="1" spans="1:30" x14ac:dyDescent="0.25">
      <c r="A700" s="4"/>
      <c r="B700" s="4"/>
      <c r="E700" s="4"/>
      <c r="F700" s="4"/>
      <c r="G700" s="4"/>
      <c r="H700" s="4"/>
      <c r="I700" s="4"/>
      <c r="J700" s="4"/>
      <c r="K700" s="4"/>
      <c r="L700" s="4"/>
      <c r="M700" s="4"/>
      <c r="N700" s="4"/>
      <c r="O700" s="4"/>
      <c r="P700" s="4"/>
      <c r="T700" s="4"/>
      <c r="U700" s="4"/>
      <c r="V700" s="4"/>
      <c r="W700" s="4"/>
      <c r="X700" s="4"/>
      <c r="Y700" s="4"/>
      <c r="Z700" s="4"/>
      <c r="AA700" s="4"/>
      <c r="AB700" s="4"/>
      <c r="AC700" s="4"/>
      <c r="AD700" s="4"/>
    </row>
    <row r="701" ht="13.5" customHeight="1" spans="1:30" x14ac:dyDescent="0.25">
      <c r="A701" s="4"/>
      <c r="B701" s="4"/>
      <c r="E701" s="4"/>
      <c r="F701" s="4"/>
      <c r="G701" s="4"/>
      <c r="H701" s="4"/>
      <c r="I701" s="4"/>
      <c r="J701" s="4"/>
      <c r="K701" s="4"/>
      <c r="L701" s="4"/>
      <c r="M701" s="4"/>
      <c r="N701" s="4"/>
      <c r="O701" s="4"/>
      <c r="P701" s="4"/>
      <c r="T701" s="4"/>
      <c r="U701" s="4"/>
      <c r="V701" s="4"/>
      <c r="W701" s="4"/>
      <c r="X701" s="4"/>
      <c r="Y701" s="4"/>
      <c r="Z701" s="4"/>
      <c r="AA701" s="4"/>
      <c r="AB701" s="4"/>
      <c r="AC701" s="4"/>
      <c r="AD701" s="4"/>
    </row>
    <row r="702" ht="13.5" customHeight="1" spans="1:30" x14ac:dyDescent="0.25">
      <c r="A702" s="4"/>
      <c r="B702" s="4"/>
      <c r="E702" s="4"/>
      <c r="F702" s="4"/>
      <c r="G702" s="4"/>
      <c r="H702" s="4"/>
      <c r="I702" s="4"/>
      <c r="J702" s="4"/>
      <c r="K702" s="4"/>
      <c r="L702" s="4"/>
      <c r="M702" s="4"/>
      <c r="N702" s="4"/>
      <c r="O702" s="4"/>
      <c r="P702" s="4"/>
      <c r="T702" s="4"/>
      <c r="U702" s="4"/>
      <c r="V702" s="4"/>
      <c r="W702" s="4"/>
      <c r="X702" s="4"/>
      <c r="Y702" s="4"/>
      <c r="Z702" s="4"/>
      <c r="AA702" s="4"/>
      <c r="AB702" s="4"/>
      <c r="AC702" s="4"/>
      <c r="AD702" s="4"/>
    </row>
    <row r="703" ht="13.5" customHeight="1" spans="1:30" x14ac:dyDescent="0.25">
      <c r="A703" s="4"/>
      <c r="B703" s="4"/>
      <c r="E703" s="4"/>
      <c r="F703" s="4"/>
      <c r="G703" s="4"/>
      <c r="H703" s="4"/>
      <c r="I703" s="4"/>
      <c r="J703" s="4"/>
      <c r="K703" s="4"/>
      <c r="L703" s="4"/>
      <c r="M703" s="4"/>
      <c r="N703" s="4"/>
      <c r="O703" s="4"/>
      <c r="P703" s="4"/>
      <c r="T703" s="4"/>
      <c r="U703" s="4"/>
      <c r="V703" s="4"/>
      <c r="W703" s="4"/>
      <c r="X703" s="4"/>
      <c r="Y703" s="4"/>
      <c r="Z703" s="4"/>
      <c r="AA703" s="4"/>
      <c r="AB703" s="4"/>
      <c r="AC703" s="4"/>
      <c r="AD703" s="4"/>
    </row>
    <row r="704" ht="13.5" customHeight="1" spans="1:30" x14ac:dyDescent="0.25">
      <c r="A704" s="4"/>
      <c r="B704" s="4"/>
      <c r="E704" s="4"/>
      <c r="F704" s="4"/>
      <c r="G704" s="4"/>
      <c r="H704" s="4"/>
      <c r="I704" s="4"/>
      <c r="J704" s="4"/>
      <c r="K704" s="4"/>
      <c r="L704" s="4"/>
      <c r="M704" s="4"/>
      <c r="N704" s="4"/>
      <c r="O704" s="4"/>
      <c r="P704" s="4"/>
      <c r="T704" s="4"/>
      <c r="U704" s="4"/>
      <c r="V704" s="4"/>
      <c r="W704" s="4"/>
      <c r="X704" s="4"/>
      <c r="Y704" s="4"/>
      <c r="Z704" s="4"/>
      <c r="AA704" s="4"/>
      <c r="AB704" s="4"/>
      <c r="AC704" s="4"/>
      <c r="AD704" s="4"/>
    </row>
    <row r="705" ht="13.5" customHeight="1" spans="1:30" x14ac:dyDescent="0.25">
      <c r="A705" s="4"/>
      <c r="B705" s="4"/>
      <c r="E705" s="4"/>
      <c r="F705" s="4"/>
      <c r="G705" s="4"/>
      <c r="H705" s="4"/>
      <c r="I705" s="4"/>
      <c r="J705" s="4"/>
      <c r="K705" s="4"/>
      <c r="L705" s="4"/>
      <c r="M705" s="4"/>
      <c r="N705" s="4"/>
      <c r="O705" s="4"/>
      <c r="P705" s="4"/>
      <c r="T705" s="4"/>
      <c r="U705" s="4"/>
      <c r="V705" s="4"/>
      <c r="W705" s="4"/>
      <c r="X705" s="4"/>
      <c r="Y705" s="4"/>
      <c r="Z705" s="4"/>
      <c r="AA705" s="4"/>
      <c r="AB705" s="4"/>
      <c r="AC705" s="4"/>
      <c r="AD705" s="4"/>
    </row>
    <row r="706" ht="13.5" customHeight="1" spans="1:30" x14ac:dyDescent="0.25">
      <c r="A706" s="4"/>
      <c r="B706" s="4"/>
      <c r="E706" s="4"/>
      <c r="F706" s="4"/>
      <c r="G706" s="4"/>
      <c r="H706" s="4"/>
      <c r="I706" s="4"/>
      <c r="J706" s="4"/>
      <c r="K706" s="4"/>
      <c r="L706" s="4"/>
      <c r="M706" s="4"/>
      <c r="N706" s="4"/>
      <c r="O706" s="4"/>
      <c r="P706" s="4"/>
      <c r="T706" s="4"/>
      <c r="U706" s="4"/>
      <c r="V706" s="4"/>
      <c r="W706" s="4"/>
      <c r="X706" s="4"/>
      <c r="Y706" s="4"/>
      <c r="Z706" s="4"/>
      <c r="AA706" s="4"/>
      <c r="AB706" s="4"/>
      <c r="AC706" s="4"/>
      <c r="AD706" s="4"/>
    </row>
    <row r="707" ht="13.5" customHeight="1" spans="1:30" x14ac:dyDescent="0.25">
      <c r="A707" s="4"/>
      <c r="B707" s="4"/>
      <c r="E707" s="4"/>
      <c r="F707" s="4"/>
      <c r="G707" s="4"/>
      <c r="H707" s="4"/>
      <c r="I707" s="4"/>
      <c r="J707" s="4"/>
      <c r="K707" s="4"/>
      <c r="L707" s="4"/>
      <c r="M707" s="4"/>
      <c r="N707" s="4"/>
      <c r="O707" s="4"/>
      <c r="P707" s="4"/>
      <c r="T707" s="4"/>
      <c r="U707" s="4"/>
      <c r="V707" s="4"/>
      <c r="W707" s="4"/>
      <c r="X707" s="4"/>
      <c r="Y707" s="4"/>
      <c r="Z707" s="4"/>
      <c r="AA707" s="4"/>
      <c r="AB707" s="4"/>
      <c r="AC707" s="4"/>
      <c r="AD707" s="4"/>
    </row>
    <row r="708" ht="13.5" customHeight="1" spans="1:30" x14ac:dyDescent="0.25">
      <c r="A708" s="4"/>
      <c r="B708" s="4"/>
      <c r="E708" s="4"/>
      <c r="F708" s="4"/>
      <c r="G708" s="4"/>
      <c r="H708" s="4"/>
      <c r="I708" s="4"/>
      <c r="J708" s="4"/>
      <c r="K708" s="4"/>
      <c r="L708" s="4"/>
      <c r="M708" s="4"/>
      <c r="N708" s="4"/>
      <c r="O708" s="4"/>
      <c r="P708" s="4"/>
      <c r="T708" s="4"/>
      <c r="U708" s="4"/>
      <c r="V708" s="4"/>
      <c r="W708" s="4"/>
      <c r="X708" s="4"/>
      <c r="Y708" s="4"/>
      <c r="Z708" s="4"/>
      <c r="AA708" s="4"/>
      <c r="AB708" s="4"/>
      <c r="AC708" s="4"/>
      <c r="AD708" s="4"/>
    </row>
    <row r="709" ht="13.5" customHeight="1" spans="1:30" x14ac:dyDescent="0.25">
      <c r="A709" s="4"/>
      <c r="B709" s="4"/>
      <c r="E709" s="4"/>
      <c r="F709" s="4"/>
      <c r="G709" s="4"/>
      <c r="H709" s="4"/>
      <c r="I709" s="4"/>
      <c r="J709" s="4"/>
      <c r="K709" s="4"/>
      <c r="L709" s="4"/>
      <c r="M709" s="4"/>
      <c r="N709" s="4"/>
      <c r="O709" s="4"/>
      <c r="P709" s="4"/>
      <c r="T709" s="4"/>
      <c r="U709" s="4"/>
      <c r="V709" s="4"/>
      <c r="W709" s="4"/>
      <c r="X709" s="4"/>
      <c r="Y709" s="4"/>
      <c r="Z709" s="4"/>
      <c r="AA709" s="4"/>
      <c r="AB709" s="4"/>
      <c r="AC709" s="4"/>
      <c r="AD709" s="4"/>
    </row>
    <row r="710" ht="13.5" customHeight="1" spans="1:30" x14ac:dyDescent="0.25">
      <c r="A710" s="4"/>
      <c r="B710" s="4"/>
      <c r="E710" s="4"/>
      <c r="F710" s="4"/>
      <c r="G710" s="4"/>
      <c r="H710" s="4"/>
      <c r="I710" s="4"/>
      <c r="J710" s="4"/>
      <c r="K710" s="4"/>
      <c r="L710" s="4"/>
      <c r="M710" s="4"/>
      <c r="N710" s="4"/>
      <c r="O710" s="4"/>
      <c r="P710" s="4"/>
      <c r="T710" s="4"/>
      <c r="U710" s="4"/>
      <c r="V710" s="4"/>
      <c r="W710" s="4"/>
      <c r="X710" s="4"/>
      <c r="Y710" s="4"/>
      <c r="Z710" s="4"/>
      <c r="AA710" s="4"/>
      <c r="AB710" s="4"/>
      <c r="AC710" s="4"/>
      <c r="AD710" s="4"/>
    </row>
    <row r="711" ht="13.5" customHeight="1" spans="1:30" x14ac:dyDescent="0.25">
      <c r="A711" s="4"/>
      <c r="B711" s="4"/>
      <c r="E711" s="4"/>
      <c r="F711" s="4"/>
      <c r="G711" s="4"/>
      <c r="H711" s="4"/>
      <c r="I711" s="4"/>
      <c r="J711" s="4"/>
      <c r="K711" s="4"/>
      <c r="L711" s="4"/>
      <c r="M711" s="4"/>
      <c r="N711" s="4"/>
      <c r="O711" s="4"/>
      <c r="P711" s="4"/>
      <c r="T711" s="4"/>
      <c r="U711" s="4"/>
      <c r="V711" s="4"/>
      <c r="W711" s="4"/>
      <c r="X711" s="4"/>
      <c r="Y711" s="4"/>
      <c r="Z711" s="4"/>
      <c r="AA711" s="4"/>
      <c r="AB711" s="4"/>
      <c r="AC711" s="4"/>
      <c r="AD711" s="4"/>
    </row>
    <row r="712" ht="13.5" customHeight="1" spans="1:30" x14ac:dyDescent="0.25">
      <c r="A712" s="4"/>
      <c r="B712" s="4"/>
      <c r="E712" s="4"/>
      <c r="F712" s="4"/>
      <c r="G712" s="4"/>
      <c r="H712" s="4"/>
      <c r="I712" s="4"/>
      <c r="J712" s="4"/>
      <c r="K712" s="4"/>
      <c r="L712" s="4"/>
      <c r="M712" s="4"/>
      <c r="N712" s="4"/>
      <c r="O712" s="4"/>
      <c r="P712" s="4"/>
      <c r="T712" s="4"/>
      <c r="U712" s="4"/>
      <c r="V712" s="4"/>
      <c r="W712" s="4"/>
      <c r="X712" s="4"/>
      <c r="Y712" s="4"/>
      <c r="Z712" s="4"/>
      <c r="AA712" s="4"/>
      <c r="AB712" s="4"/>
      <c r="AC712" s="4"/>
      <c r="AD712" s="4"/>
    </row>
    <row r="713" ht="13.5" customHeight="1" spans="1:30" x14ac:dyDescent="0.25">
      <c r="A713" s="4"/>
      <c r="B713" s="4"/>
      <c r="E713" s="4"/>
      <c r="F713" s="4"/>
      <c r="G713" s="4"/>
      <c r="H713" s="4"/>
      <c r="I713" s="4"/>
      <c r="J713" s="4"/>
      <c r="K713" s="4"/>
      <c r="L713" s="4"/>
      <c r="M713" s="4"/>
      <c r="N713" s="4"/>
      <c r="O713" s="4"/>
      <c r="P713" s="4"/>
      <c r="T713" s="4"/>
      <c r="U713" s="4"/>
      <c r="V713" s="4"/>
      <c r="W713" s="4"/>
      <c r="X713" s="4"/>
      <c r="Y713" s="4"/>
      <c r="Z713" s="4"/>
      <c r="AA713" s="4"/>
      <c r="AB713" s="4"/>
      <c r="AC713" s="4"/>
      <c r="AD713" s="4"/>
    </row>
    <row r="714" ht="13.5" customHeight="1" spans="1:30" x14ac:dyDescent="0.25">
      <c r="A714" s="4"/>
      <c r="B714" s="4"/>
      <c r="E714" s="4"/>
      <c r="F714" s="4"/>
      <c r="G714" s="4"/>
      <c r="H714" s="4"/>
      <c r="I714" s="4"/>
      <c r="J714" s="4"/>
      <c r="K714" s="4"/>
      <c r="L714" s="4"/>
      <c r="M714" s="4"/>
      <c r="N714" s="4"/>
      <c r="O714" s="4"/>
      <c r="P714" s="4"/>
      <c r="T714" s="4"/>
      <c r="U714" s="4"/>
      <c r="V714" s="4"/>
      <c r="W714" s="4"/>
      <c r="X714" s="4"/>
      <c r="Y714" s="4"/>
      <c r="Z714" s="4"/>
      <c r="AA714" s="4"/>
      <c r="AB714" s="4"/>
      <c r="AC714" s="4"/>
      <c r="AD714" s="4"/>
    </row>
    <row r="715" ht="13.5" customHeight="1" spans="1:30" x14ac:dyDescent="0.25">
      <c r="A715" s="4"/>
      <c r="B715" s="4"/>
      <c r="E715" s="4"/>
      <c r="F715" s="4"/>
      <c r="G715" s="4"/>
      <c r="H715" s="4"/>
      <c r="I715" s="4"/>
      <c r="J715" s="4"/>
      <c r="K715" s="4"/>
      <c r="L715" s="4"/>
      <c r="M715" s="4"/>
      <c r="N715" s="4"/>
      <c r="O715" s="4"/>
      <c r="P715" s="4"/>
      <c r="T715" s="4"/>
      <c r="U715" s="4"/>
      <c r="V715" s="4"/>
      <c r="W715" s="4"/>
      <c r="X715" s="4"/>
      <c r="Y715" s="4"/>
      <c r="Z715" s="4"/>
      <c r="AA715" s="4"/>
      <c r="AB715" s="4"/>
      <c r="AC715" s="4"/>
      <c r="AD715" s="4"/>
    </row>
    <row r="716" ht="13.5" customHeight="1" spans="1:30" x14ac:dyDescent="0.25">
      <c r="A716" s="4"/>
      <c r="B716" s="4"/>
      <c r="E716" s="4"/>
      <c r="F716" s="4"/>
      <c r="G716" s="4"/>
      <c r="H716" s="4"/>
      <c r="I716" s="4"/>
      <c r="J716" s="4"/>
      <c r="K716" s="4"/>
      <c r="L716" s="4"/>
      <c r="M716" s="4"/>
      <c r="N716" s="4"/>
      <c r="O716" s="4"/>
      <c r="P716" s="4"/>
      <c r="T716" s="4"/>
      <c r="U716" s="4"/>
      <c r="V716" s="4"/>
      <c r="W716" s="4"/>
      <c r="X716" s="4"/>
      <c r="Y716" s="4"/>
      <c r="Z716" s="4"/>
      <c r="AA716" s="4"/>
      <c r="AB716" s="4"/>
      <c r="AC716" s="4"/>
      <c r="AD716" s="4"/>
    </row>
    <row r="717" ht="13.5" customHeight="1" spans="1:30" x14ac:dyDescent="0.25">
      <c r="A717" s="4"/>
      <c r="B717" s="4"/>
      <c r="E717" s="4"/>
      <c r="F717" s="4"/>
      <c r="G717" s="4"/>
      <c r="H717" s="4"/>
      <c r="I717" s="4"/>
      <c r="J717" s="4"/>
      <c r="K717" s="4"/>
      <c r="L717" s="4"/>
      <c r="M717" s="4"/>
      <c r="N717" s="4"/>
      <c r="O717" s="4"/>
      <c r="P717" s="4"/>
      <c r="T717" s="4"/>
      <c r="U717" s="4"/>
      <c r="V717" s="4"/>
      <c r="W717" s="4"/>
      <c r="X717" s="4"/>
      <c r="Y717" s="4"/>
      <c r="Z717" s="4"/>
      <c r="AA717" s="4"/>
      <c r="AB717" s="4"/>
      <c r="AC717" s="4"/>
      <c r="AD717" s="4"/>
    </row>
    <row r="718" ht="13.5" customHeight="1" spans="1:30" x14ac:dyDescent="0.25">
      <c r="A718" s="4"/>
      <c r="B718" s="4"/>
      <c r="E718" s="4"/>
      <c r="F718" s="4"/>
      <c r="G718" s="4"/>
      <c r="H718" s="4"/>
      <c r="I718" s="4"/>
      <c r="J718" s="4"/>
      <c r="K718" s="4"/>
      <c r="L718" s="4"/>
      <c r="M718" s="4"/>
      <c r="N718" s="4"/>
      <c r="O718" s="4"/>
      <c r="P718" s="4"/>
      <c r="T718" s="4"/>
      <c r="U718" s="4"/>
      <c r="V718" s="4"/>
      <c r="W718" s="4"/>
      <c r="X718" s="4"/>
      <c r="Y718" s="4"/>
      <c r="Z718" s="4"/>
      <c r="AA718" s="4"/>
      <c r="AB718" s="4"/>
      <c r="AC718" s="4"/>
      <c r="AD718" s="4"/>
    </row>
    <row r="719" ht="13.5" customHeight="1" spans="1:30" x14ac:dyDescent="0.25">
      <c r="A719" s="4"/>
      <c r="B719" s="4"/>
      <c r="E719" s="4"/>
      <c r="F719" s="4"/>
      <c r="G719" s="4"/>
      <c r="H719" s="4"/>
      <c r="I719" s="4"/>
      <c r="J719" s="4"/>
      <c r="K719" s="4"/>
      <c r="L719" s="4"/>
      <c r="M719" s="4"/>
      <c r="N719" s="4"/>
      <c r="O719" s="4"/>
      <c r="P719" s="4"/>
      <c r="T719" s="4"/>
      <c r="U719" s="4"/>
      <c r="V719" s="4"/>
      <c r="W719" s="4"/>
      <c r="X719" s="4"/>
      <c r="Y719" s="4"/>
      <c r="Z719" s="4"/>
      <c r="AA719" s="4"/>
      <c r="AB719" s="4"/>
      <c r="AC719" s="4"/>
      <c r="AD719" s="4"/>
    </row>
    <row r="720" ht="13.5" customHeight="1" spans="1:30" x14ac:dyDescent="0.25">
      <c r="A720" s="4"/>
      <c r="B720" s="4"/>
      <c r="E720" s="4"/>
      <c r="F720" s="4"/>
      <c r="G720" s="4"/>
      <c r="H720" s="4"/>
      <c r="I720" s="4"/>
      <c r="J720" s="4"/>
      <c r="K720" s="4"/>
      <c r="L720" s="4"/>
      <c r="M720" s="4"/>
      <c r="N720" s="4"/>
      <c r="O720" s="4"/>
      <c r="P720" s="4"/>
      <c r="T720" s="4"/>
      <c r="U720" s="4"/>
      <c r="V720" s="4"/>
      <c r="W720" s="4"/>
      <c r="X720" s="4"/>
      <c r="Y720" s="4"/>
      <c r="Z720" s="4"/>
      <c r="AA720" s="4"/>
      <c r="AB720" s="4"/>
      <c r="AC720" s="4"/>
      <c r="AD720" s="4"/>
    </row>
    <row r="721" ht="13.5" customHeight="1" spans="1:30" x14ac:dyDescent="0.25">
      <c r="A721" s="4"/>
      <c r="B721" s="4"/>
      <c r="E721" s="4"/>
      <c r="F721" s="4"/>
      <c r="G721" s="4"/>
      <c r="H721" s="4"/>
      <c r="I721" s="4"/>
      <c r="J721" s="4"/>
      <c r="K721" s="4"/>
      <c r="L721" s="4"/>
      <c r="M721" s="4"/>
      <c r="N721" s="4"/>
      <c r="O721" s="4"/>
      <c r="P721" s="4"/>
      <c r="T721" s="4"/>
      <c r="U721" s="4"/>
      <c r="V721" s="4"/>
      <c r="W721" s="4"/>
      <c r="X721" s="4"/>
      <c r="Y721" s="4"/>
      <c r="Z721" s="4"/>
      <c r="AA721" s="4"/>
      <c r="AB721" s="4"/>
      <c r="AC721" s="4"/>
      <c r="AD721" s="4"/>
    </row>
    <row r="722" ht="13.5" customHeight="1" spans="1:30" x14ac:dyDescent="0.25">
      <c r="A722" s="4"/>
      <c r="B722" s="4"/>
      <c r="E722" s="4"/>
      <c r="F722" s="4"/>
      <c r="G722" s="4"/>
      <c r="H722" s="4"/>
      <c r="I722" s="4"/>
      <c r="J722" s="4"/>
      <c r="K722" s="4"/>
      <c r="L722" s="4"/>
      <c r="M722" s="4"/>
      <c r="N722" s="4"/>
      <c r="O722" s="4"/>
      <c r="P722" s="4"/>
      <c r="T722" s="4"/>
      <c r="U722" s="4"/>
      <c r="V722" s="4"/>
      <c r="W722" s="4"/>
      <c r="X722" s="4"/>
      <c r="Y722" s="4"/>
      <c r="Z722" s="4"/>
      <c r="AA722" s="4"/>
      <c r="AB722" s="4"/>
      <c r="AC722" s="4"/>
      <c r="AD722" s="4"/>
    </row>
    <row r="723" ht="13.5" customHeight="1" spans="1:30" x14ac:dyDescent="0.25">
      <c r="A723" s="4"/>
      <c r="B723" s="4"/>
      <c r="E723" s="4"/>
      <c r="F723" s="4"/>
      <c r="G723" s="4"/>
      <c r="H723" s="4"/>
      <c r="I723" s="4"/>
      <c r="J723" s="4"/>
      <c r="K723" s="4"/>
      <c r="L723" s="4"/>
      <c r="M723" s="4"/>
      <c r="N723" s="4"/>
      <c r="O723" s="4"/>
      <c r="P723" s="4"/>
      <c r="T723" s="4"/>
      <c r="U723" s="4"/>
      <c r="V723" s="4"/>
      <c r="W723" s="4"/>
      <c r="X723" s="4"/>
      <c r="Y723" s="4"/>
      <c r="Z723" s="4"/>
      <c r="AA723" s="4"/>
      <c r="AB723" s="4"/>
      <c r="AC723" s="4"/>
      <c r="AD723" s="4"/>
    </row>
    <row r="724" ht="13.5" customHeight="1" spans="1:30" x14ac:dyDescent="0.25">
      <c r="A724" s="4"/>
      <c r="B724" s="4"/>
      <c r="E724" s="4"/>
      <c r="F724" s="4"/>
      <c r="G724" s="4"/>
      <c r="H724" s="4"/>
      <c r="I724" s="4"/>
      <c r="J724" s="4"/>
      <c r="K724" s="4"/>
      <c r="L724" s="4"/>
      <c r="M724" s="4"/>
      <c r="N724" s="4"/>
      <c r="O724" s="4"/>
      <c r="P724" s="4"/>
      <c r="T724" s="4"/>
      <c r="U724" s="4"/>
      <c r="V724" s="4"/>
      <c r="W724" s="4"/>
      <c r="X724" s="4"/>
      <c r="Y724" s="4"/>
      <c r="Z724" s="4"/>
      <c r="AA724" s="4"/>
      <c r="AB724" s="4"/>
      <c r="AC724" s="4"/>
      <c r="AD724" s="4"/>
    </row>
    <row r="725" ht="13.5" customHeight="1" spans="1:30" x14ac:dyDescent="0.25">
      <c r="A725" s="4"/>
      <c r="B725" s="4"/>
      <c r="E725" s="4"/>
      <c r="F725" s="4"/>
      <c r="G725" s="4"/>
      <c r="H725" s="4"/>
      <c r="I725" s="4"/>
      <c r="J725" s="4"/>
      <c r="K725" s="4"/>
      <c r="L725" s="4"/>
      <c r="M725" s="4"/>
      <c r="N725" s="4"/>
      <c r="O725" s="4"/>
      <c r="P725" s="4"/>
      <c r="T725" s="4"/>
      <c r="U725" s="4"/>
      <c r="V725" s="4"/>
      <c r="W725" s="4"/>
      <c r="X725" s="4"/>
      <c r="Y725" s="4"/>
      <c r="Z725" s="4"/>
      <c r="AA725" s="4"/>
      <c r="AB725" s="4"/>
      <c r="AC725" s="4"/>
      <c r="AD725" s="4"/>
    </row>
    <row r="726" ht="13.5" customHeight="1" spans="1:30" x14ac:dyDescent="0.25">
      <c r="A726" s="4"/>
      <c r="B726" s="4"/>
      <c r="E726" s="4"/>
      <c r="F726" s="4"/>
      <c r="G726" s="4"/>
      <c r="H726" s="4"/>
      <c r="I726" s="4"/>
      <c r="J726" s="4"/>
      <c r="K726" s="4"/>
      <c r="L726" s="4"/>
      <c r="M726" s="4"/>
      <c r="N726" s="4"/>
      <c r="O726" s="4"/>
      <c r="P726" s="4"/>
      <c r="T726" s="4"/>
      <c r="U726" s="4"/>
      <c r="V726" s="4"/>
      <c r="W726" s="4"/>
      <c r="X726" s="4"/>
      <c r="Y726" s="4"/>
      <c r="Z726" s="4"/>
      <c r="AA726" s="4"/>
      <c r="AB726" s="4"/>
      <c r="AC726" s="4"/>
      <c r="AD726" s="4"/>
    </row>
    <row r="727" ht="13.5" customHeight="1" spans="1:30" x14ac:dyDescent="0.25">
      <c r="A727" s="4"/>
      <c r="B727" s="4"/>
      <c r="E727" s="4"/>
      <c r="F727" s="4"/>
      <c r="G727" s="4"/>
      <c r="H727" s="4"/>
      <c r="I727" s="4"/>
      <c r="J727" s="4"/>
      <c r="K727" s="4"/>
      <c r="L727" s="4"/>
      <c r="M727" s="4"/>
      <c r="N727" s="4"/>
      <c r="O727" s="4"/>
      <c r="P727" s="4"/>
      <c r="T727" s="4"/>
      <c r="U727" s="4"/>
      <c r="V727" s="4"/>
      <c r="W727" s="4"/>
      <c r="X727" s="4"/>
      <c r="Y727" s="4"/>
      <c r="Z727" s="4"/>
      <c r="AA727" s="4"/>
      <c r="AB727" s="4"/>
      <c r="AC727" s="4"/>
      <c r="AD727" s="4"/>
    </row>
    <row r="728" ht="13.5" customHeight="1" spans="1:30" x14ac:dyDescent="0.25">
      <c r="A728" s="4"/>
      <c r="B728" s="4"/>
      <c r="E728" s="4"/>
      <c r="F728" s="4"/>
      <c r="G728" s="4"/>
      <c r="H728" s="4"/>
      <c r="I728" s="4"/>
      <c r="J728" s="4"/>
      <c r="K728" s="4"/>
      <c r="L728" s="4"/>
      <c r="M728" s="4"/>
      <c r="N728" s="4"/>
      <c r="O728" s="4"/>
      <c r="P728" s="4"/>
      <c r="T728" s="4"/>
      <c r="U728" s="4"/>
      <c r="V728" s="4"/>
      <c r="W728" s="4"/>
      <c r="X728" s="4"/>
      <c r="Y728" s="4"/>
      <c r="Z728" s="4"/>
      <c r="AA728" s="4"/>
      <c r="AB728" s="4"/>
      <c r="AC728" s="4"/>
      <c r="AD728" s="4"/>
    </row>
    <row r="729" ht="13.5" customHeight="1" spans="1:30" x14ac:dyDescent="0.25">
      <c r="A729" s="4"/>
      <c r="B729" s="4"/>
      <c r="E729" s="4"/>
      <c r="F729" s="4"/>
      <c r="G729" s="4"/>
      <c r="H729" s="4"/>
      <c r="I729" s="4"/>
      <c r="J729" s="4"/>
      <c r="K729" s="4"/>
      <c r="L729" s="4"/>
      <c r="M729" s="4"/>
      <c r="N729" s="4"/>
      <c r="O729" s="4"/>
      <c r="P729" s="4"/>
      <c r="T729" s="4"/>
      <c r="U729" s="4"/>
      <c r="V729" s="4"/>
      <c r="W729" s="4"/>
      <c r="X729" s="4"/>
      <c r="Y729" s="4"/>
      <c r="Z729" s="4"/>
      <c r="AA729" s="4"/>
      <c r="AB729" s="4"/>
      <c r="AC729" s="4"/>
      <c r="AD729" s="4"/>
    </row>
    <row r="730" ht="13.5" customHeight="1" spans="1:30" x14ac:dyDescent="0.25">
      <c r="A730" s="4"/>
      <c r="B730" s="4"/>
      <c r="E730" s="4"/>
      <c r="F730" s="4"/>
      <c r="G730" s="4"/>
      <c r="H730" s="4"/>
      <c r="I730" s="4"/>
      <c r="J730" s="4"/>
      <c r="K730" s="4"/>
      <c r="L730" s="4"/>
      <c r="M730" s="4"/>
      <c r="N730" s="4"/>
      <c r="O730" s="4"/>
      <c r="P730" s="4"/>
      <c r="T730" s="4"/>
      <c r="U730" s="4"/>
      <c r="V730" s="4"/>
      <c r="W730" s="4"/>
      <c r="X730" s="4"/>
      <c r="Y730" s="4"/>
      <c r="Z730" s="4"/>
      <c r="AA730" s="4"/>
      <c r="AB730" s="4"/>
      <c r="AC730" s="4"/>
      <c r="AD730" s="4"/>
    </row>
    <row r="731" ht="13.5" customHeight="1" spans="1:30" x14ac:dyDescent="0.25">
      <c r="A731" s="4"/>
      <c r="B731" s="4"/>
      <c r="E731" s="4"/>
      <c r="F731" s="4"/>
      <c r="G731" s="4"/>
      <c r="H731" s="4"/>
      <c r="I731" s="4"/>
      <c r="J731" s="4"/>
      <c r="K731" s="4"/>
      <c r="L731" s="4"/>
      <c r="M731" s="4"/>
      <c r="N731" s="4"/>
      <c r="O731" s="4"/>
      <c r="P731" s="4"/>
      <c r="T731" s="4"/>
      <c r="U731" s="4"/>
      <c r="V731" s="4"/>
      <c r="W731" s="4"/>
      <c r="X731" s="4"/>
      <c r="Y731" s="4"/>
      <c r="Z731" s="4"/>
      <c r="AA731" s="4"/>
      <c r="AB731" s="4"/>
      <c r="AC731" s="4"/>
      <c r="AD731" s="4"/>
    </row>
    <row r="732" ht="13.5" customHeight="1" spans="1:30" x14ac:dyDescent="0.25">
      <c r="A732" s="4"/>
      <c r="B732" s="4"/>
      <c r="E732" s="4"/>
      <c r="F732" s="4"/>
      <c r="G732" s="4"/>
      <c r="H732" s="4"/>
      <c r="I732" s="4"/>
      <c r="J732" s="4"/>
      <c r="K732" s="4"/>
      <c r="L732" s="4"/>
      <c r="M732" s="4"/>
      <c r="N732" s="4"/>
      <c r="O732" s="4"/>
      <c r="P732" s="4"/>
      <c r="T732" s="4"/>
      <c r="U732" s="4"/>
      <c r="V732" s="4"/>
      <c r="W732" s="4"/>
      <c r="X732" s="4"/>
      <c r="Y732" s="4"/>
      <c r="Z732" s="4"/>
      <c r="AA732" s="4"/>
      <c r="AB732" s="4"/>
      <c r="AC732" s="4"/>
      <c r="AD732" s="4"/>
    </row>
    <row r="733" ht="13.5" customHeight="1" spans="1:30" x14ac:dyDescent="0.25">
      <c r="A733" s="4"/>
      <c r="B733" s="4"/>
      <c r="E733" s="4"/>
      <c r="F733" s="4"/>
      <c r="G733" s="4"/>
      <c r="H733" s="4"/>
      <c r="I733" s="4"/>
      <c r="J733" s="4"/>
      <c r="K733" s="4"/>
      <c r="L733" s="4"/>
      <c r="M733" s="4"/>
      <c r="N733" s="4"/>
      <c r="O733" s="4"/>
      <c r="P733" s="4"/>
      <c r="T733" s="4"/>
      <c r="U733" s="4"/>
      <c r="V733" s="4"/>
      <c r="W733" s="4"/>
      <c r="X733" s="4"/>
      <c r="Y733" s="4"/>
      <c r="Z733" s="4"/>
      <c r="AA733" s="4"/>
      <c r="AB733" s="4"/>
      <c r="AC733" s="4"/>
      <c r="AD733" s="4"/>
    </row>
    <row r="734" ht="13.5" customHeight="1" spans="1:30" x14ac:dyDescent="0.25">
      <c r="A734" s="4"/>
      <c r="B734" s="4"/>
      <c r="E734" s="4"/>
      <c r="F734" s="4"/>
      <c r="G734" s="4"/>
      <c r="H734" s="4"/>
      <c r="I734" s="4"/>
      <c r="J734" s="4"/>
      <c r="K734" s="4"/>
      <c r="L734" s="4"/>
      <c r="M734" s="4"/>
      <c r="N734" s="4"/>
      <c r="O734" s="4"/>
      <c r="P734" s="4"/>
      <c r="T734" s="4"/>
      <c r="U734" s="4"/>
      <c r="V734" s="4"/>
      <c r="W734" s="4"/>
      <c r="X734" s="4"/>
      <c r="Y734" s="4"/>
      <c r="Z734" s="4"/>
      <c r="AA734" s="4"/>
      <c r="AB734" s="4"/>
      <c r="AC734" s="4"/>
      <c r="AD734" s="4"/>
    </row>
    <row r="735" ht="13.5" customHeight="1" spans="1:30" x14ac:dyDescent="0.25">
      <c r="A735" s="4"/>
      <c r="B735" s="4"/>
      <c r="E735" s="4"/>
      <c r="F735" s="4"/>
      <c r="G735" s="4"/>
      <c r="H735" s="4"/>
      <c r="I735" s="4"/>
      <c r="J735" s="4"/>
      <c r="K735" s="4"/>
      <c r="L735" s="4"/>
      <c r="M735" s="4"/>
      <c r="N735" s="4"/>
      <c r="O735" s="4"/>
      <c r="P735" s="4"/>
      <c r="T735" s="4"/>
      <c r="U735" s="4"/>
      <c r="V735" s="4"/>
      <c r="W735" s="4"/>
      <c r="X735" s="4"/>
      <c r="Y735" s="4"/>
      <c r="Z735" s="4"/>
      <c r="AA735" s="4"/>
      <c r="AB735" s="4"/>
      <c r="AC735" s="4"/>
      <c r="AD735" s="4"/>
    </row>
    <row r="736" ht="13.5" customHeight="1" spans="1:30" x14ac:dyDescent="0.25">
      <c r="A736" s="4"/>
      <c r="B736" s="4"/>
      <c r="E736" s="4"/>
      <c r="F736" s="4"/>
      <c r="G736" s="4"/>
      <c r="H736" s="4"/>
      <c r="I736" s="4"/>
      <c r="J736" s="4"/>
      <c r="K736" s="4"/>
      <c r="L736" s="4"/>
      <c r="M736" s="4"/>
      <c r="N736" s="4"/>
      <c r="O736" s="4"/>
      <c r="P736" s="4"/>
      <c r="T736" s="4"/>
      <c r="U736" s="4"/>
      <c r="V736" s="4"/>
      <c r="W736" s="4"/>
      <c r="X736" s="4"/>
      <c r="Y736" s="4"/>
      <c r="Z736" s="4"/>
      <c r="AA736" s="4"/>
      <c r="AB736" s="4"/>
      <c r="AC736" s="4"/>
      <c r="AD736" s="4"/>
    </row>
    <row r="737" ht="13.5" customHeight="1" spans="1:30" x14ac:dyDescent="0.25">
      <c r="A737" s="4"/>
      <c r="B737" s="4"/>
      <c r="E737" s="4"/>
      <c r="F737" s="4"/>
      <c r="G737" s="4"/>
      <c r="H737" s="4"/>
      <c r="I737" s="4"/>
      <c r="J737" s="4"/>
      <c r="K737" s="4"/>
      <c r="L737" s="4"/>
      <c r="M737" s="4"/>
      <c r="N737" s="4"/>
      <c r="O737" s="4"/>
      <c r="P737" s="4"/>
      <c r="T737" s="4"/>
      <c r="U737" s="4"/>
      <c r="V737" s="4"/>
      <c r="W737" s="4"/>
      <c r="X737" s="4"/>
      <c r="Y737" s="4"/>
      <c r="Z737" s="4"/>
      <c r="AA737" s="4"/>
      <c r="AB737" s="4"/>
      <c r="AC737" s="4"/>
      <c r="AD737" s="4"/>
    </row>
    <row r="738" ht="13.5" customHeight="1" spans="1:30" x14ac:dyDescent="0.25">
      <c r="A738" s="4"/>
      <c r="B738" s="4"/>
      <c r="E738" s="4"/>
      <c r="F738" s="4"/>
      <c r="G738" s="4"/>
      <c r="H738" s="4"/>
      <c r="I738" s="4"/>
      <c r="J738" s="4"/>
      <c r="K738" s="4"/>
      <c r="L738" s="4"/>
      <c r="M738" s="4"/>
      <c r="N738" s="4"/>
      <c r="O738" s="4"/>
      <c r="P738" s="4"/>
      <c r="T738" s="4"/>
      <c r="U738" s="4"/>
      <c r="V738" s="4"/>
      <c r="W738" s="4"/>
      <c r="X738" s="4"/>
      <c r="Y738" s="4"/>
      <c r="Z738" s="4"/>
      <c r="AA738" s="4"/>
      <c r="AB738" s="4"/>
      <c r="AC738" s="4"/>
      <c r="AD738" s="4"/>
    </row>
    <row r="739" ht="13.5" customHeight="1" spans="1:30" x14ac:dyDescent="0.25">
      <c r="A739" s="4"/>
      <c r="B739" s="4"/>
      <c r="E739" s="4"/>
      <c r="F739" s="4"/>
      <c r="G739" s="4"/>
      <c r="H739" s="4"/>
      <c r="I739" s="4"/>
      <c r="J739" s="4"/>
      <c r="K739" s="4"/>
      <c r="L739" s="4"/>
      <c r="M739" s="4"/>
      <c r="N739" s="4"/>
      <c r="O739" s="4"/>
      <c r="P739" s="4"/>
      <c r="T739" s="4"/>
      <c r="U739" s="4"/>
      <c r="V739" s="4"/>
      <c r="W739" s="4"/>
      <c r="X739" s="4"/>
      <c r="Y739" s="4"/>
      <c r="Z739" s="4"/>
      <c r="AA739" s="4"/>
      <c r="AB739" s="4"/>
      <c r="AC739" s="4"/>
      <c r="AD739" s="4"/>
    </row>
    <row r="740" ht="13.5" customHeight="1" spans="1:30" x14ac:dyDescent="0.25">
      <c r="A740" s="4"/>
      <c r="B740" s="4"/>
      <c r="E740" s="4"/>
      <c r="F740" s="4"/>
      <c r="G740" s="4"/>
      <c r="H740" s="4"/>
      <c r="I740" s="4"/>
      <c r="J740" s="4"/>
      <c r="K740" s="4"/>
      <c r="L740" s="4"/>
      <c r="M740" s="4"/>
      <c r="N740" s="4"/>
      <c r="O740" s="4"/>
      <c r="P740" s="4"/>
      <c r="T740" s="4"/>
      <c r="U740" s="4"/>
      <c r="V740" s="4"/>
      <c r="W740" s="4"/>
      <c r="X740" s="4"/>
      <c r="Y740" s="4"/>
      <c r="Z740" s="4"/>
      <c r="AA740" s="4"/>
      <c r="AB740" s="4"/>
      <c r="AC740" s="4"/>
      <c r="AD740" s="4"/>
    </row>
    <row r="741" ht="13.5" customHeight="1" spans="1:30" x14ac:dyDescent="0.25">
      <c r="A741" s="4"/>
      <c r="B741" s="4"/>
      <c r="E741" s="4"/>
      <c r="F741" s="4"/>
      <c r="G741" s="4"/>
      <c r="H741" s="4"/>
      <c r="I741" s="4"/>
      <c r="J741" s="4"/>
      <c r="K741" s="4"/>
      <c r="L741" s="4"/>
      <c r="M741" s="4"/>
      <c r="N741" s="4"/>
      <c r="O741" s="4"/>
      <c r="P741" s="4"/>
      <c r="T741" s="4"/>
      <c r="U741" s="4"/>
      <c r="V741" s="4"/>
      <c r="W741" s="4"/>
      <c r="X741" s="4"/>
      <c r="Y741" s="4"/>
      <c r="Z741" s="4"/>
      <c r="AA741" s="4"/>
      <c r="AB741" s="4"/>
      <c r="AC741" s="4"/>
      <c r="AD741" s="4"/>
    </row>
    <row r="742" ht="13.5" customHeight="1" spans="1:30" x14ac:dyDescent="0.25">
      <c r="A742" s="4"/>
      <c r="B742" s="4"/>
      <c r="E742" s="4"/>
      <c r="F742" s="4"/>
      <c r="G742" s="4"/>
      <c r="H742" s="4"/>
      <c r="I742" s="4"/>
      <c r="J742" s="4"/>
      <c r="K742" s="4"/>
      <c r="L742" s="4"/>
      <c r="M742" s="4"/>
      <c r="N742" s="4"/>
      <c r="O742" s="4"/>
      <c r="P742" s="4"/>
      <c r="T742" s="4"/>
      <c r="U742" s="4"/>
      <c r="V742" s="4"/>
      <c r="W742" s="4"/>
      <c r="X742" s="4"/>
      <c r="Y742" s="4"/>
      <c r="Z742" s="4"/>
      <c r="AA742" s="4"/>
      <c r="AB742" s="4"/>
      <c r="AC742" s="4"/>
      <c r="AD742" s="4"/>
    </row>
    <row r="743" ht="13.5" customHeight="1" spans="1:30" x14ac:dyDescent="0.25">
      <c r="A743" s="4"/>
      <c r="B743" s="4"/>
      <c r="E743" s="4"/>
      <c r="F743" s="4"/>
      <c r="G743" s="4"/>
      <c r="H743" s="4"/>
      <c r="I743" s="4"/>
      <c r="J743" s="4"/>
      <c r="K743" s="4"/>
      <c r="L743" s="4"/>
      <c r="M743" s="4"/>
      <c r="N743" s="4"/>
      <c r="O743" s="4"/>
      <c r="P743" s="4"/>
      <c r="T743" s="4"/>
      <c r="U743" s="4"/>
      <c r="V743" s="4"/>
      <c r="W743" s="4"/>
      <c r="X743" s="4"/>
      <c r="Y743" s="4"/>
      <c r="Z743" s="4"/>
      <c r="AA743" s="4"/>
      <c r="AB743" s="4"/>
      <c r="AC743" s="4"/>
      <c r="AD743" s="4"/>
    </row>
    <row r="744" ht="13.5" customHeight="1" spans="1:30" x14ac:dyDescent="0.25">
      <c r="A744" s="4"/>
      <c r="B744" s="4"/>
      <c r="E744" s="4"/>
      <c r="F744" s="4"/>
      <c r="G744" s="4"/>
      <c r="H744" s="4"/>
      <c r="I744" s="4"/>
      <c r="J744" s="4"/>
      <c r="K744" s="4"/>
      <c r="L744" s="4"/>
      <c r="M744" s="4"/>
      <c r="N744" s="4"/>
      <c r="O744" s="4"/>
      <c r="P744" s="4"/>
      <c r="T744" s="4"/>
      <c r="U744" s="4"/>
      <c r="V744" s="4"/>
      <c r="W744" s="4"/>
      <c r="X744" s="4"/>
      <c r="Y744" s="4"/>
      <c r="Z744" s="4"/>
      <c r="AA744" s="4"/>
      <c r="AB744" s="4"/>
      <c r="AC744" s="4"/>
      <c r="AD744" s="4"/>
    </row>
    <row r="745" ht="13.5" customHeight="1" spans="1:30" x14ac:dyDescent="0.25">
      <c r="A745" s="4"/>
      <c r="B745" s="4"/>
      <c r="E745" s="4"/>
      <c r="F745" s="4"/>
      <c r="G745" s="4"/>
      <c r="H745" s="4"/>
      <c r="I745" s="4"/>
      <c r="J745" s="4"/>
      <c r="K745" s="4"/>
      <c r="L745" s="4"/>
      <c r="M745" s="4"/>
      <c r="N745" s="4"/>
      <c r="O745" s="4"/>
      <c r="P745" s="4"/>
      <c r="T745" s="4"/>
      <c r="U745" s="4"/>
      <c r="V745" s="4"/>
      <c r="W745" s="4"/>
      <c r="X745" s="4"/>
      <c r="Y745" s="4"/>
      <c r="Z745" s="4"/>
      <c r="AA745" s="4"/>
      <c r="AB745" s="4"/>
      <c r="AC745" s="4"/>
      <c r="AD745" s="4"/>
    </row>
    <row r="746" ht="13.5" customHeight="1" spans="1:30" x14ac:dyDescent="0.25">
      <c r="A746" s="4"/>
      <c r="B746" s="4"/>
      <c r="E746" s="4"/>
      <c r="F746" s="4"/>
      <c r="G746" s="4"/>
      <c r="H746" s="4"/>
      <c r="I746" s="4"/>
      <c r="J746" s="4"/>
      <c r="K746" s="4"/>
      <c r="L746" s="4"/>
      <c r="M746" s="4"/>
      <c r="N746" s="4"/>
      <c r="O746" s="4"/>
      <c r="P746" s="4"/>
      <c r="T746" s="4"/>
      <c r="U746" s="4"/>
      <c r="V746" s="4"/>
      <c r="W746" s="4"/>
      <c r="X746" s="4"/>
      <c r="Y746" s="4"/>
      <c r="Z746" s="4"/>
      <c r="AA746" s="4"/>
      <c r="AB746" s="4"/>
      <c r="AC746" s="4"/>
      <c r="AD746" s="4"/>
    </row>
    <row r="747" ht="13.5" customHeight="1" spans="1:30" x14ac:dyDescent="0.25">
      <c r="A747" s="4"/>
      <c r="B747" s="4"/>
      <c r="E747" s="4"/>
      <c r="F747" s="4"/>
      <c r="G747" s="4"/>
      <c r="H747" s="4"/>
      <c r="I747" s="4"/>
      <c r="J747" s="4"/>
      <c r="K747" s="4"/>
      <c r="L747" s="4"/>
      <c r="M747" s="4"/>
      <c r="N747" s="4"/>
      <c r="O747" s="4"/>
      <c r="P747" s="4"/>
      <c r="T747" s="4"/>
      <c r="U747" s="4"/>
      <c r="V747" s="4"/>
      <c r="W747" s="4"/>
      <c r="X747" s="4"/>
      <c r="Y747" s="4"/>
      <c r="Z747" s="4"/>
      <c r="AA747" s="4"/>
      <c r="AB747" s="4"/>
      <c r="AC747" s="4"/>
      <c r="AD747" s="4"/>
    </row>
    <row r="748" ht="13.5" customHeight="1" spans="1:30" x14ac:dyDescent="0.25">
      <c r="A748" s="4"/>
      <c r="B748" s="4"/>
      <c r="E748" s="4"/>
      <c r="F748" s="4"/>
      <c r="G748" s="4"/>
      <c r="H748" s="4"/>
      <c r="I748" s="4"/>
      <c r="J748" s="4"/>
      <c r="K748" s="4"/>
      <c r="L748" s="4"/>
      <c r="M748" s="4"/>
      <c r="N748" s="4"/>
      <c r="O748" s="4"/>
      <c r="P748" s="4"/>
      <c r="T748" s="4"/>
      <c r="U748" s="4"/>
      <c r="V748" s="4"/>
      <c r="W748" s="4"/>
      <c r="X748" s="4"/>
      <c r="Y748" s="4"/>
      <c r="Z748" s="4"/>
      <c r="AA748" s="4"/>
      <c r="AB748" s="4"/>
      <c r="AC748" s="4"/>
      <c r="AD748" s="4"/>
    </row>
    <row r="749" ht="13.5" customHeight="1" spans="1:30" x14ac:dyDescent="0.25">
      <c r="A749" s="4"/>
      <c r="B749" s="4"/>
      <c r="E749" s="4"/>
      <c r="F749" s="4"/>
      <c r="G749" s="4"/>
      <c r="H749" s="4"/>
      <c r="I749" s="4"/>
      <c r="J749" s="4"/>
      <c r="K749" s="4"/>
      <c r="L749" s="4"/>
      <c r="M749" s="4"/>
      <c r="N749" s="4"/>
      <c r="O749" s="4"/>
      <c r="P749" s="4"/>
      <c r="T749" s="4"/>
      <c r="U749" s="4"/>
      <c r="V749" s="4"/>
      <c r="W749" s="4"/>
      <c r="X749" s="4"/>
      <c r="Y749" s="4"/>
      <c r="Z749" s="4"/>
      <c r="AA749" s="4"/>
      <c r="AB749" s="4"/>
      <c r="AC749" s="4"/>
      <c r="AD749" s="4"/>
    </row>
    <row r="750" ht="13.5" customHeight="1" spans="1:30" x14ac:dyDescent="0.25">
      <c r="A750" s="4"/>
      <c r="B750" s="4"/>
      <c r="E750" s="4"/>
      <c r="F750" s="4"/>
      <c r="G750" s="4"/>
      <c r="H750" s="4"/>
      <c r="I750" s="4"/>
      <c r="J750" s="4"/>
      <c r="K750" s="4"/>
      <c r="L750" s="4"/>
      <c r="M750" s="4"/>
      <c r="N750" s="4"/>
      <c r="O750" s="4"/>
      <c r="P750" s="4"/>
      <c r="T750" s="4"/>
      <c r="U750" s="4"/>
      <c r="V750" s="4"/>
      <c r="W750" s="4"/>
      <c r="X750" s="4"/>
      <c r="Y750" s="4"/>
      <c r="Z750" s="4"/>
      <c r="AA750" s="4"/>
      <c r="AB750" s="4"/>
      <c r="AC750" s="4"/>
      <c r="AD750" s="4"/>
    </row>
    <row r="751" ht="13.5" customHeight="1" spans="1:30" x14ac:dyDescent="0.25">
      <c r="A751" s="4"/>
      <c r="B751" s="4"/>
      <c r="E751" s="4"/>
      <c r="F751" s="4"/>
      <c r="G751" s="4"/>
      <c r="H751" s="4"/>
      <c r="I751" s="4"/>
      <c r="J751" s="4"/>
      <c r="K751" s="4"/>
      <c r="L751" s="4"/>
      <c r="M751" s="4"/>
      <c r="N751" s="4"/>
      <c r="O751" s="4"/>
      <c r="P751" s="4"/>
      <c r="T751" s="4"/>
      <c r="U751" s="4"/>
      <c r="V751" s="4"/>
      <c r="W751" s="4"/>
      <c r="X751" s="4"/>
      <c r="Y751" s="4"/>
      <c r="Z751" s="4"/>
      <c r="AA751" s="4"/>
      <c r="AB751" s="4"/>
      <c r="AC751" s="4"/>
      <c r="AD751" s="4"/>
    </row>
    <row r="752" ht="13.5" customHeight="1" spans="1:30" x14ac:dyDescent="0.25">
      <c r="A752" s="4"/>
      <c r="B752" s="4"/>
      <c r="E752" s="4"/>
      <c r="F752" s="4"/>
      <c r="G752" s="4"/>
      <c r="H752" s="4"/>
      <c r="I752" s="4"/>
      <c r="J752" s="4"/>
      <c r="K752" s="4"/>
      <c r="L752" s="4"/>
      <c r="M752" s="4"/>
      <c r="N752" s="4"/>
      <c r="O752" s="4"/>
      <c r="P752" s="4"/>
      <c r="T752" s="4"/>
      <c r="U752" s="4"/>
      <c r="V752" s="4"/>
      <c r="W752" s="4"/>
      <c r="X752" s="4"/>
      <c r="Y752" s="4"/>
      <c r="Z752" s="4"/>
      <c r="AA752" s="4"/>
      <c r="AB752" s="4"/>
      <c r="AC752" s="4"/>
      <c r="AD752" s="4"/>
    </row>
    <row r="753" ht="13.5" customHeight="1" spans="1:30" x14ac:dyDescent="0.25">
      <c r="A753" s="4"/>
      <c r="B753" s="4"/>
      <c r="E753" s="4"/>
      <c r="F753" s="4"/>
      <c r="G753" s="4"/>
      <c r="H753" s="4"/>
      <c r="I753" s="4"/>
      <c r="J753" s="4"/>
      <c r="K753" s="4"/>
      <c r="L753" s="4"/>
      <c r="M753" s="4"/>
      <c r="N753" s="4"/>
      <c r="O753" s="4"/>
      <c r="P753" s="4"/>
      <c r="T753" s="4"/>
      <c r="U753" s="4"/>
      <c r="V753" s="4"/>
      <c r="W753" s="4"/>
      <c r="X753" s="4"/>
      <c r="Y753" s="4"/>
      <c r="Z753" s="4"/>
      <c r="AA753" s="4"/>
      <c r="AB753" s="4"/>
      <c r="AC753" s="4"/>
      <c r="AD753" s="4"/>
    </row>
    <row r="754" ht="13.5" customHeight="1" spans="1:30" x14ac:dyDescent="0.25">
      <c r="A754" s="4"/>
      <c r="B754" s="4"/>
      <c r="E754" s="4"/>
      <c r="F754" s="4"/>
      <c r="G754" s="4"/>
      <c r="H754" s="4"/>
      <c r="I754" s="4"/>
      <c r="J754" s="4"/>
      <c r="K754" s="4"/>
      <c r="L754" s="4"/>
      <c r="M754" s="4"/>
      <c r="N754" s="4"/>
      <c r="O754" s="4"/>
      <c r="P754" s="4"/>
      <c r="T754" s="4"/>
      <c r="U754" s="4"/>
      <c r="V754" s="4"/>
      <c r="W754" s="4"/>
      <c r="X754" s="4"/>
      <c r="Y754" s="4"/>
      <c r="Z754" s="4"/>
      <c r="AA754" s="4"/>
      <c r="AB754" s="4"/>
      <c r="AC754" s="4"/>
      <c r="AD754" s="4"/>
    </row>
    <row r="755" ht="13.5" customHeight="1" spans="1:30" x14ac:dyDescent="0.25">
      <c r="A755" s="4"/>
      <c r="B755" s="4"/>
      <c r="E755" s="4"/>
      <c r="F755" s="4"/>
      <c r="G755" s="4"/>
      <c r="H755" s="4"/>
      <c r="I755" s="4"/>
      <c r="J755" s="4"/>
      <c r="K755" s="4"/>
      <c r="L755" s="4"/>
      <c r="M755" s="4"/>
      <c r="N755" s="4"/>
      <c r="O755" s="4"/>
      <c r="P755" s="4"/>
      <c r="T755" s="4"/>
      <c r="U755" s="4"/>
      <c r="V755" s="4"/>
      <c r="W755" s="4"/>
      <c r="X755" s="4"/>
      <c r="Y755" s="4"/>
      <c r="Z755" s="4"/>
      <c r="AA755" s="4"/>
      <c r="AB755" s="4"/>
      <c r="AC755" s="4"/>
      <c r="AD755" s="4"/>
    </row>
    <row r="756" ht="13.5" customHeight="1" spans="1:30" x14ac:dyDescent="0.25">
      <c r="A756" s="4"/>
      <c r="B756" s="4"/>
      <c r="E756" s="4"/>
      <c r="F756" s="4"/>
      <c r="G756" s="4"/>
      <c r="H756" s="4"/>
      <c r="I756" s="4"/>
      <c r="J756" s="4"/>
      <c r="K756" s="4"/>
      <c r="L756" s="4"/>
      <c r="M756" s="4"/>
      <c r="N756" s="4"/>
      <c r="O756" s="4"/>
      <c r="P756" s="4"/>
      <c r="T756" s="4"/>
      <c r="U756" s="4"/>
      <c r="V756" s="4"/>
      <c r="W756" s="4"/>
      <c r="X756" s="4"/>
      <c r="Y756" s="4"/>
      <c r="Z756" s="4"/>
      <c r="AA756" s="4"/>
      <c r="AB756" s="4"/>
      <c r="AC756" s="4"/>
      <c r="AD756" s="4"/>
    </row>
    <row r="757" ht="13.5" customHeight="1" spans="1:30" x14ac:dyDescent="0.25">
      <c r="A757" s="4"/>
      <c r="B757" s="4"/>
      <c r="E757" s="4"/>
      <c r="F757" s="4"/>
      <c r="G757" s="4"/>
      <c r="H757" s="4"/>
      <c r="I757" s="4"/>
      <c r="J757" s="4"/>
      <c r="K757" s="4"/>
      <c r="L757" s="4"/>
      <c r="M757" s="4"/>
      <c r="N757" s="4"/>
      <c r="O757" s="4"/>
      <c r="P757" s="4"/>
      <c r="T757" s="4"/>
      <c r="U757" s="4"/>
      <c r="V757" s="4"/>
      <c r="W757" s="4"/>
      <c r="X757" s="4"/>
      <c r="Y757" s="4"/>
      <c r="Z757" s="4"/>
      <c r="AA757" s="4"/>
      <c r="AB757" s="4"/>
      <c r="AC757" s="4"/>
      <c r="AD757" s="4"/>
    </row>
    <row r="758" ht="13.5" customHeight="1" spans="1:30" x14ac:dyDescent="0.25">
      <c r="A758" s="4"/>
      <c r="B758" s="4"/>
      <c r="E758" s="4"/>
      <c r="F758" s="4"/>
      <c r="G758" s="4"/>
      <c r="H758" s="4"/>
      <c r="I758" s="4"/>
      <c r="J758" s="4"/>
      <c r="K758" s="4"/>
      <c r="L758" s="4"/>
      <c r="M758" s="4"/>
      <c r="N758" s="4"/>
      <c r="O758" s="4"/>
      <c r="P758" s="4"/>
      <c r="T758" s="4"/>
      <c r="U758" s="4"/>
      <c r="V758" s="4"/>
      <c r="W758" s="4"/>
      <c r="X758" s="4"/>
      <c r="Y758" s="4"/>
      <c r="Z758" s="4"/>
      <c r="AA758" s="4"/>
      <c r="AB758" s="4"/>
      <c r="AC758" s="4"/>
      <c r="AD758" s="4"/>
    </row>
    <row r="759" ht="13.5" customHeight="1" spans="1:30" x14ac:dyDescent="0.25">
      <c r="A759" s="4"/>
      <c r="B759" s="4"/>
      <c r="E759" s="4"/>
      <c r="F759" s="4"/>
      <c r="G759" s="4"/>
      <c r="H759" s="4"/>
      <c r="I759" s="4"/>
      <c r="J759" s="4"/>
      <c r="K759" s="4"/>
      <c r="L759" s="4"/>
      <c r="M759" s="4"/>
      <c r="N759" s="4"/>
      <c r="O759" s="4"/>
      <c r="P759" s="4"/>
      <c r="T759" s="4"/>
      <c r="U759" s="4"/>
      <c r="V759" s="4"/>
      <c r="W759" s="4"/>
      <c r="X759" s="4"/>
      <c r="Y759" s="4"/>
      <c r="Z759" s="4"/>
      <c r="AA759" s="4"/>
      <c r="AB759" s="4"/>
      <c r="AC759" s="4"/>
      <c r="AD759" s="4"/>
    </row>
    <row r="760" ht="13.5" customHeight="1" spans="1:30" x14ac:dyDescent="0.25">
      <c r="A760" s="4"/>
      <c r="B760" s="4"/>
      <c r="E760" s="4"/>
      <c r="F760" s="4"/>
      <c r="G760" s="4"/>
      <c r="H760" s="4"/>
      <c r="I760" s="4"/>
      <c r="J760" s="4"/>
      <c r="K760" s="4"/>
      <c r="L760" s="4"/>
      <c r="M760" s="4"/>
      <c r="N760" s="4"/>
      <c r="O760" s="4"/>
      <c r="P760" s="4"/>
      <c r="T760" s="4"/>
      <c r="U760" s="4"/>
      <c r="V760" s="4"/>
      <c r="W760" s="4"/>
      <c r="X760" s="4"/>
      <c r="Y760" s="4"/>
      <c r="Z760" s="4"/>
      <c r="AA760" s="4"/>
      <c r="AB760" s="4"/>
      <c r="AC760" s="4"/>
      <c r="AD760" s="4"/>
    </row>
    <row r="761" ht="13.5" customHeight="1" spans="1:30" x14ac:dyDescent="0.25">
      <c r="A761" s="4"/>
      <c r="B761" s="4"/>
      <c r="E761" s="4"/>
      <c r="F761" s="4"/>
      <c r="G761" s="4"/>
      <c r="H761" s="4"/>
      <c r="I761" s="4"/>
      <c r="J761" s="4"/>
      <c r="K761" s="4"/>
      <c r="L761" s="4"/>
      <c r="M761" s="4"/>
      <c r="N761" s="4"/>
      <c r="O761" s="4"/>
      <c r="P761" s="4"/>
      <c r="T761" s="4"/>
      <c r="U761" s="4"/>
      <c r="V761" s="4"/>
      <c r="W761" s="4"/>
      <c r="X761" s="4"/>
      <c r="Y761" s="4"/>
      <c r="Z761" s="4"/>
      <c r="AA761" s="4"/>
      <c r="AB761" s="4"/>
      <c r="AC761" s="4"/>
      <c r="AD761" s="4"/>
    </row>
    <row r="762" ht="13.5" customHeight="1" spans="1:30" x14ac:dyDescent="0.25">
      <c r="A762" s="4"/>
      <c r="B762" s="4"/>
      <c r="E762" s="4"/>
      <c r="F762" s="4"/>
      <c r="G762" s="4"/>
      <c r="H762" s="4"/>
      <c r="I762" s="4"/>
      <c r="J762" s="4"/>
      <c r="K762" s="4"/>
      <c r="L762" s="4"/>
      <c r="M762" s="4"/>
      <c r="N762" s="4"/>
      <c r="O762" s="4"/>
      <c r="P762" s="4"/>
      <c r="T762" s="4"/>
      <c r="U762" s="4"/>
      <c r="V762" s="4"/>
      <c r="W762" s="4"/>
      <c r="X762" s="4"/>
      <c r="Y762" s="4"/>
      <c r="Z762" s="4"/>
      <c r="AA762" s="4"/>
      <c r="AB762" s="4"/>
      <c r="AC762" s="4"/>
      <c r="AD762" s="4"/>
    </row>
    <row r="763" ht="13.5" customHeight="1" spans="1:30" x14ac:dyDescent="0.25">
      <c r="A763" s="4"/>
      <c r="B763" s="4"/>
      <c r="E763" s="4"/>
      <c r="F763" s="4"/>
      <c r="G763" s="4"/>
      <c r="H763" s="4"/>
      <c r="I763" s="4"/>
      <c r="J763" s="4"/>
      <c r="K763" s="4"/>
      <c r="L763" s="4"/>
      <c r="M763" s="4"/>
      <c r="N763" s="4"/>
      <c r="O763" s="4"/>
      <c r="P763" s="4"/>
      <c r="T763" s="4"/>
      <c r="U763" s="4"/>
      <c r="V763" s="4"/>
      <c r="W763" s="4"/>
      <c r="X763" s="4"/>
      <c r="Y763" s="4"/>
      <c r="Z763" s="4"/>
      <c r="AA763" s="4"/>
      <c r="AB763" s="4"/>
      <c r="AC763" s="4"/>
      <c r="AD763" s="4"/>
    </row>
    <row r="764" ht="13.5" customHeight="1" spans="1:30" x14ac:dyDescent="0.25">
      <c r="A764" s="4"/>
      <c r="B764" s="4"/>
      <c r="E764" s="4"/>
      <c r="F764" s="4"/>
      <c r="G764" s="4"/>
      <c r="H764" s="4"/>
      <c r="I764" s="4"/>
      <c r="J764" s="4"/>
      <c r="K764" s="4"/>
      <c r="L764" s="4"/>
      <c r="M764" s="4"/>
      <c r="N764" s="4"/>
      <c r="O764" s="4"/>
      <c r="P764" s="4"/>
      <c r="T764" s="4"/>
      <c r="U764" s="4"/>
      <c r="V764" s="4"/>
      <c r="W764" s="4"/>
      <c r="X764" s="4"/>
      <c r="Y764" s="4"/>
      <c r="Z764" s="4"/>
      <c r="AA764" s="4"/>
      <c r="AB764" s="4"/>
      <c r="AC764" s="4"/>
      <c r="AD764" s="4"/>
    </row>
    <row r="765" ht="13.5" customHeight="1" spans="1:30" x14ac:dyDescent="0.25">
      <c r="A765" s="4"/>
      <c r="B765" s="4"/>
      <c r="E765" s="4"/>
      <c r="F765" s="4"/>
      <c r="G765" s="4"/>
      <c r="H765" s="4"/>
      <c r="I765" s="4"/>
      <c r="J765" s="4"/>
      <c r="K765" s="4"/>
      <c r="L765" s="4"/>
      <c r="M765" s="4"/>
      <c r="N765" s="4"/>
      <c r="O765" s="4"/>
      <c r="P765" s="4"/>
      <c r="T765" s="4"/>
      <c r="U765" s="4"/>
      <c r="V765" s="4"/>
      <c r="W765" s="4"/>
      <c r="X765" s="4"/>
      <c r="Y765" s="4"/>
      <c r="Z765" s="4"/>
      <c r="AA765" s="4"/>
      <c r="AB765" s="4"/>
      <c r="AC765" s="4"/>
      <c r="AD765" s="4"/>
    </row>
    <row r="766" ht="13.5" customHeight="1" spans="1:30" x14ac:dyDescent="0.25">
      <c r="A766" s="4"/>
      <c r="B766" s="4"/>
      <c r="E766" s="4"/>
      <c r="F766" s="4"/>
      <c r="G766" s="4"/>
      <c r="H766" s="4"/>
      <c r="I766" s="4"/>
      <c r="J766" s="4"/>
      <c r="K766" s="4"/>
      <c r="L766" s="4"/>
      <c r="M766" s="4"/>
      <c r="N766" s="4"/>
      <c r="O766" s="4"/>
      <c r="P766" s="4"/>
      <c r="T766" s="4"/>
      <c r="U766" s="4"/>
      <c r="V766" s="4"/>
      <c r="W766" s="4"/>
      <c r="X766" s="4"/>
      <c r="Y766" s="4"/>
      <c r="Z766" s="4"/>
      <c r="AA766" s="4"/>
      <c r="AB766" s="4"/>
      <c r="AC766" s="4"/>
      <c r="AD766" s="4"/>
    </row>
    <row r="767" ht="13.5" customHeight="1" spans="1:30" x14ac:dyDescent="0.25">
      <c r="A767" s="4"/>
      <c r="B767" s="4"/>
      <c r="E767" s="4"/>
      <c r="F767" s="4"/>
      <c r="G767" s="4"/>
      <c r="H767" s="4"/>
      <c r="I767" s="4"/>
      <c r="J767" s="4"/>
      <c r="K767" s="4"/>
      <c r="L767" s="4"/>
      <c r="M767" s="4"/>
      <c r="N767" s="4"/>
      <c r="O767" s="4"/>
      <c r="P767" s="4"/>
      <c r="T767" s="4"/>
      <c r="U767" s="4"/>
      <c r="V767" s="4"/>
      <c r="W767" s="4"/>
      <c r="X767" s="4"/>
      <c r="Y767" s="4"/>
      <c r="Z767" s="4"/>
      <c r="AA767" s="4"/>
      <c r="AB767" s="4"/>
      <c r="AC767" s="4"/>
      <c r="AD767" s="4"/>
    </row>
    <row r="768" ht="13.5" customHeight="1" spans="1:30" x14ac:dyDescent="0.25">
      <c r="A768" s="4"/>
      <c r="B768" s="4"/>
      <c r="E768" s="4"/>
      <c r="F768" s="4"/>
      <c r="G768" s="4"/>
      <c r="H768" s="4"/>
      <c r="I768" s="4"/>
      <c r="J768" s="4"/>
      <c r="K768" s="4"/>
      <c r="L768" s="4"/>
      <c r="M768" s="4"/>
      <c r="N768" s="4"/>
      <c r="O768" s="4"/>
      <c r="P768" s="4"/>
      <c r="T768" s="4"/>
      <c r="U768" s="4"/>
      <c r="V768" s="4"/>
      <c r="W768" s="4"/>
      <c r="X768" s="4"/>
      <c r="Y768" s="4"/>
      <c r="Z768" s="4"/>
      <c r="AA768" s="4"/>
      <c r="AB768" s="4"/>
      <c r="AC768" s="4"/>
      <c r="AD768" s="4"/>
    </row>
    <row r="769" ht="13.5" customHeight="1" spans="1:30" x14ac:dyDescent="0.25">
      <c r="A769" s="4"/>
      <c r="B769" s="4"/>
      <c r="E769" s="4"/>
      <c r="F769" s="4"/>
      <c r="G769" s="4"/>
      <c r="H769" s="4"/>
      <c r="I769" s="4"/>
      <c r="J769" s="4"/>
      <c r="K769" s="4"/>
      <c r="L769" s="4"/>
      <c r="M769" s="4"/>
      <c r="N769" s="4"/>
      <c r="O769" s="4"/>
      <c r="P769" s="4"/>
      <c r="T769" s="4"/>
      <c r="U769" s="4"/>
      <c r="V769" s="4"/>
      <c r="W769" s="4"/>
      <c r="X769" s="4"/>
      <c r="Y769" s="4"/>
      <c r="Z769" s="4"/>
      <c r="AA769" s="4"/>
      <c r="AB769" s="4"/>
      <c r="AC769" s="4"/>
      <c r="AD769" s="4"/>
    </row>
    <row r="770" ht="13.5" customHeight="1" spans="1:30" x14ac:dyDescent="0.25">
      <c r="A770" s="4"/>
      <c r="B770" s="4"/>
      <c r="E770" s="4"/>
      <c r="F770" s="4"/>
      <c r="G770" s="4"/>
      <c r="H770" s="4"/>
      <c r="I770" s="4"/>
      <c r="J770" s="4"/>
      <c r="K770" s="4"/>
      <c r="L770" s="4"/>
      <c r="M770" s="4"/>
      <c r="N770" s="4"/>
      <c r="O770" s="4"/>
      <c r="P770" s="4"/>
      <c r="T770" s="4"/>
      <c r="U770" s="4"/>
      <c r="V770" s="4"/>
      <c r="W770" s="4"/>
      <c r="X770" s="4"/>
      <c r="Y770" s="4"/>
      <c r="Z770" s="4"/>
      <c r="AA770" s="4"/>
      <c r="AB770" s="4"/>
      <c r="AC770" s="4"/>
      <c r="AD770" s="4"/>
    </row>
    <row r="771" ht="13.5" customHeight="1" spans="1:30" x14ac:dyDescent="0.25">
      <c r="A771" s="4"/>
      <c r="B771" s="4"/>
      <c r="E771" s="4"/>
      <c r="F771" s="4"/>
      <c r="G771" s="4"/>
      <c r="H771" s="4"/>
      <c r="I771" s="4"/>
      <c r="J771" s="4"/>
      <c r="K771" s="4"/>
      <c r="L771" s="4"/>
      <c r="M771" s="4"/>
      <c r="N771" s="4"/>
      <c r="O771" s="4"/>
      <c r="P771" s="4"/>
      <c r="T771" s="4"/>
      <c r="U771" s="4"/>
      <c r="V771" s="4"/>
      <c r="W771" s="4"/>
      <c r="X771" s="4"/>
      <c r="Y771" s="4"/>
      <c r="Z771" s="4"/>
      <c r="AA771" s="4"/>
      <c r="AB771" s="4"/>
      <c r="AC771" s="4"/>
      <c r="AD771" s="4"/>
    </row>
    <row r="772" ht="13.5" customHeight="1" spans="1:30" x14ac:dyDescent="0.25">
      <c r="A772" s="4"/>
      <c r="B772" s="4"/>
      <c r="E772" s="4"/>
      <c r="F772" s="4"/>
      <c r="G772" s="4"/>
      <c r="H772" s="4"/>
      <c r="I772" s="4"/>
      <c r="J772" s="4"/>
      <c r="K772" s="4"/>
      <c r="L772" s="4"/>
      <c r="M772" s="4"/>
      <c r="N772" s="4"/>
      <c r="O772" s="4"/>
      <c r="P772" s="4"/>
      <c r="T772" s="4"/>
      <c r="U772" s="4"/>
      <c r="V772" s="4"/>
      <c r="W772" s="4"/>
      <c r="X772" s="4"/>
      <c r="Y772" s="4"/>
      <c r="Z772" s="4"/>
      <c r="AA772" s="4"/>
      <c r="AB772" s="4"/>
      <c r="AC772" s="4"/>
      <c r="AD772" s="4"/>
    </row>
    <row r="773" ht="13.5" customHeight="1" spans="1:30" x14ac:dyDescent="0.25">
      <c r="A773" s="4"/>
      <c r="B773" s="4"/>
      <c r="E773" s="4"/>
      <c r="F773" s="4"/>
      <c r="G773" s="4"/>
      <c r="H773" s="4"/>
      <c r="I773" s="4"/>
      <c r="J773" s="4"/>
      <c r="K773" s="4"/>
      <c r="L773" s="4"/>
      <c r="M773" s="4"/>
      <c r="N773" s="4"/>
      <c r="O773" s="4"/>
      <c r="P773" s="4"/>
      <c r="T773" s="4"/>
      <c r="U773" s="4"/>
      <c r="V773" s="4"/>
      <c r="W773" s="4"/>
      <c r="X773" s="4"/>
      <c r="Y773" s="4"/>
      <c r="Z773" s="4"/>
      <c r="AA773" s="4"/>
      <c r="AB773" s="4"/>
      <c r="AC773" s="4"/>
      <c r="AD773" s="4"/>
    </row>
    <row r="774" ht="13.5" customHeight="1" spans="1:30" x14ac:dyDescent="0.25">
      <c r="A774" s="4"/>
      <c r="B774" s="4"/>
      <c r="E774" s="4"/>
      <c r="F774" s="4"/>
      <c r="G774" s="4"/>
      <c r="H774" s="4"/>
      <c r="I774" s="4"/>
      <c r="J774" s="4"/>
      <c r="K774" s="4"/>
      <c r="L774" s="4"/>
      <c r="M774" s="4"/>
      <c r="N774" s="4"/>
      <c r="O774" s="4"/>
      <c r="P774" s="4"/>
      <c r="T774" s="4"/>
      <c r="U774" s="4"/>
      <c r="V774" s="4"/>
      <c r="W774" s="4"/>
      <c r="X774" s="4"/>
      <c r="Y774" s="4"/>
      <c r="Z774" s="4"/>
      <c r="AA774" s="4"/>
      <c r="AB774" s="4"/>
      <c r="AC774" s="4"/>
      <c r="AD774" s="4"/>
    </row>
    <row r="775" ht="13.5" customHeight="1" spans="1:30" x14ac:dyDescent="0.25">
      <c r="A775" s="4"/>
      <c r="B775" s="4"/>
      <c r="E775" s="4"/>
      <c r="F775" s="4"/>
      <c r="G775" s="4"/>
      <c r="H775" s="4"/>
      <c r="I775" s="4"/>
      <c r="J775" s="4"/>
      <c r="K775" s="4"/>
      <c r="L775" s="4"/>
      <c r="M775" s="4"/>
      <c r="N775" s="4"/>
      <c r="O775" s="4"/>
      <c r="P775" s="4"/>
      <c r="T775" s="4"/>
      <c r="U775" s="4"/>
      <c r="V775" s="4"/>
      <c r="W775" s="4"/>
      <c r="X775" s="4"/>
      <c r="Y775" s="4"/>
      <c r="Z775" s="4"/>
      <c r="AA775" s="4"/>
      <c r="AB775" s="4"/>
      <c r="AC775" s="4"/>
      <c r="AD775" s="4"/>
    </row>
    <row r="776" ht="13.5" customHeight="1" spans="1:30" x14ac:dyDescent="0.25">
      <c r="A776" s="4"/>
      <c r="B776" s="4"/>
      <c r="E776" s="4"/>
      <c r="F776" s="4"/>
      <c r="G776" s="4"/>
      <c r="H776" s="4"/>
      <c r="I776" s="4"/>
      <c r="J776" s="4"/>
      <c r="K776" s="4"/>
      <c r="L776" s="4"/>
      <c r="M776" s="4"/>
      <c r="N776" s="4"/>
      <c r="O776" s="4"/>
      <c r="P776" s="4"/>
      <c r="T776" s="4"/>
      <c r="U776" s="4"/>
      <c r="V776" s="4"/>
      <c r="W776" s="4"/>
      <c r="X776" s="4"/>
      <c r="Y776" s="4"/>
      <c r="Z776" s="4"/>
      <c r="AA776" s="4"/>
      <c r="AB776" s="4"/>
      <c r="AC776" s="4"/>
      <c r="AD776" s="4"/>
    </row>
    <row r="777" ht="13.5" customHeight="1" spans="1:30" x14ac:dyDescent="0.25">
      <c r="A777" s="4"/>
      <c r="B777" s="4"/>
      <c r="E777" s="4"/>
      <c r="F777" s="4"/>
      <c r="G777" s="4"/>
      <c r="H777" s="4"/>
      <c r="I777" s="4"/>
      <c r="J777" s="4"/>
      <c r="K777" s="4"/>
      <c r="L777" s="4"/>
      <c r="M777" s="4"/>
      <c r="N777" s="4"/>
      <c r="O777" s="4"/>
      <c r="P777" s="4"/>
      <c r="T777" s="4"/>
      <c r="U777" s="4"/>
      <c r="V777" s="4"/>
      <c r="W777" s="4"/>
      <c r="X777" s="4"/>
      <c r="Y777" s="4"/>
      <c r="Z777" s="4"/>
      <c r="AA777" s="4"/>
      <c r="AB777" s="4"/>
      <c r="AC777" s="4"/>
      <c r="AD777" s="4"/>
    </row>
    <row r="778" ht="13.5" customHeight="1" spans="1:30" x14ac:dyDescent="0.25">
      <c r="A778" s="4"/>
      <c r="B778" s="4"/>
      <c r="E778" s="4"/>
      <c r="F778" s="4"/>
      <c r="G778" s="4"/>
      <c r="H778" s="4"/>
      <c r="I778" s="4"/>
      <c r="J778" s="4"/>
      <c r="K778" s="4"/>
      <c r="L778" s="4"/>
      <c r="M778" s="4"/>
      <c r="N778" s="4"/>
      <c r="O778" s="4"/>
      <c r="P778" s="4"/>
      <c r="T778" s="4"/>
      <c r="U778" s="4"/>
      <c r="V778" s="4"/>
      <c r="W778" s="4"/>
      <c r="X778" s="4"/>
      <c r="Y778" s="4"/>
      <c r="Z778" s="4"/>
      <c r="AA778" s="4"/>
      <c r="AB778" s="4"/>
      <c r="AC778" s="4"/>
      <c r="AD778" s="4"/>
    </row>
    <row r="779" ht="13.5" customHeight="1" spans="1:30" x14ac:dyDescent="0.25">
      <c r="A779" s="4"/>
      <c r="B779" s="4"/>
      <c r="E779" s="4"/>
      <c r="F779" s="4"/>
      <c r="G779" s="4"/>
      <c r="H779" s="4"/>
      <c r="I779" s="4"/>
      <c r="J779" s="4"/>
      <c r="K779" s="4"/>
      <c r="L779" s="4"/>
      <c r="M779" s="4"/>
      <c r="N779" s="4"/>
      <c r="O779" s="4"/>
      <c r="P779" s="4"/>
      <c r="T779" s="4"/>
      <c r="U779" s="4"/>
      <c r="V779" s="4"/>
      <c r="W779" s="4"/>
      <c r="X779" s="4"/>
      <c r="Y779" s="4"/>
      <c r="Z779" s="4"/>
      <c r="AA779" s="4"/>
      <c r="AB779" s="4"/>
      <c r="AC779" s="4"/>
      <c r="AD779" s="4"/>
    </row>
    <row r="780" ht="13.5" customHeight="1" spans="1:30" x14ac:dyDescent="0.25">
      <c r="A780" s="4"/>
      <c r="B780" s="4"/>
      <c r="E780" s="4"/>
      <c r="F780" s="4"/>
      <c r="G780" s="4"/>
      <c r="H780" s="4"/>
      <c r="I780" s="4"/>
      <c r="J780" s="4"/>
      <c r="K780" s="4"/>
      <c r="L780" s="4"/>
      <c r="M780" s="4"/>
      <c r="N780" s="4"/>
      <c r="O780" s="4"/>
      <c r="P780" s="4"/>
      <c r="T780" s="4"/>
      <c r="U780" s="4"/>
      <c r="V780" s="4"/>
      <c r="W780" s="4"/>
      <c r="X780" s="4"/>
      <c r="Y780" s="4"/>
      <c r="Z780" s="4"/>
      <c r="AA780" s="4"/>
      <c r="AB780" s="4"/>
      <c r="AC780" s="4"/>
      <c r="AD780" s="4"/>
    </row>
    <row r="781" ht="13.5" customHeight="1" spans="1:30" x14ac:dyDescent="0.25">
      <c r="A781" s="4"/>
      <c r="B781" s="4"/>
      <c r="E781" s="4"/>
      <c r="F781" s="4"/>
      <c r="G781" s="4"/>
      <c r="H781" s="4"/>
      <c r="I781" s="4"/>
      <c r="J781" s="4"/>
      <c r="K781" s="4"/>
      <c r="L781" s="4"/>
      <c r="M781" s="4"/>
      <c r="N781" s="4"/>
      <c r="O781" s="4"/>
      <c r="P781" s="4"/>
      <c r="T781" s="4"/>
      <c r="U781" s="4"/>
      <c r="V781" s="4"/>
      <c r="W781" s="4"/>
      <c r="X781" s="4"/>
      <c r="Y781" s="4"/>
      <c r="Z781" s="4"/>
      <c r="AA781" s="4"/>
      <c r="AB781" s="4"/>
      <c r="AC781" s="4"/>
      <c r="AD781" s="4"/>
    </row>
    <row r="782" ht="13.5" customHeight="1" spans="1:30" x14ac:dyDescent="0.25">
      <c r="A782" s="4"/>
      <c r="B782" s="4"/>
      <c r="E782" s="4"/>
      <c r="F782" s="4"/>
      <c r="G782" s="4"/>
      <c r="H782" s="4"/>
      <c r="I782" s="4"/>
      <c r="J782" s="4"/>
      <c r="K782" s="4"/>
      <c r="L782" s="4"/>
      <c r="M782" s="4"/>
      <c r="N782" s="4"/>
      <c r="O782" s="4"/>
      <c r="P782" s="4"/>
      <c r="T782" s="4"/>
      <c r="U782" s="4"/>
      <c r="V782" s="4"/>
      <c r="W782" s="4"/>
      <c r="X782" s="4"/>
      <c r="Y782" s="4"/>
      <c r="Z782" s="4"/>
      <c r="AA782" s="4"/>
      <c r="AB782" s="4"/>
      <c r="AC782" s="4"/>
      <c r="AD782" s="4"/>
    </row>
    <row r="783" ht="13.5" customHeight="1" spans="1:30" x14ac:dyDescent="0.25">
      <c r="A783" s="4"/>
      <c r="B783" s="4"/>
      <c r="E783" s="4"/>
      <c r="F783" s="4"/>
      <c r="G783" s="4"/>
      <c r="H783" s="4"/>
      <c r="I783" s="4"/>
      <c r="J783" s="4"/>
      <c r="K783" s="4"/>
      <c r="L783" s="4"/>
      <c r="M783" s="4"/>
      <c r="N783" s="4"/>
      <c r="O783" s="4"/>
      <c r="P783" s="4"/>
      <c r="T783" s="4"/>
      <c r="U783" s="4"/>
      <c r="V783" s="4"/>
      <c r="W783" s="4"/>
      <c r="X783" s="4"/>
      <c r="Y783" s="4"/>
      <c r="Z783" s="4"/>
      <c r="AA783" s="4"/>
      <c r="AB783" s="4"/>
      <c r="AC783" s="4"/>
      <c r="AD783" s="4"/>
    </row>
    <row r="784" ht="13.5" customHeight="1" spans="1:30" x14ac:dyDescent="0.25">
      <c r="A784" s="4"/>
      <c r="B784" s="4"/>
      <c r="E784" s="4"/>
      <c r="F784" s="4"/>
      <c r="G784" s="4"/>
      <c r="H784" s="4"/>
      <c r="I784" s="4"/>
      <c r="J784" s="4"/>
      <c r="K784" s="4"/>
      <c r="L784" s="4"/>
      <c r="M784" s="4"/>
      <c r="N784" s="4"/>
      <c r="O784" s="4"/>
      <c r="P784" s="4"/>
      <c r="T784" s="4"/>
      <c r="U784" s="4"/>
      <c r="V784" s="4"/>
      <c r="W784" s="4"/>
      <c r="X784" s="4"/>
      <c r="Y784" s="4"/>
      <c r="Z784" s="4"/>
      <c r="AA784" s="4"/>
      <c r="AB784" s="4"/>
      <c r="AC784" s="4"/>
      <c r="AD784" s="4"/>
    </row>
    <row r="785" ht="13.5" customHeight="1" spans="1:30" x14ac:dyDescent="0.25">
      <c r="A785" s="4"/>
      <c r="B785" s="4"/>
      <c r="E785" s="4"/>
      <c r="F785" s="4"/>
      <c r="G785" s="4"/>
      <c r="H785" s="4"/>
      <c r="I785" s="4"/>
      <c r="J785" s="4"/>
      <c r="K785" s="4"/>
      <c r="L785" s="4"/>
      <c r="M785" s="4"/>
      <c r="N785" s="4"/>
      <c r="O785" s="4"/>
      <c r="P785" s="4"/>
      <c r="T785" s="4"/>
      <c r="U785" s="4"/>
      <c r="V785" s="4"/>
      <c r="W785" s="4"/>
      <c r="X785" s="4"/>
      <c r="Y785" s="4"/>
      <c r="Z785" s="4"/>
      <c r="AA785" s="4"/>
      <c r="AB785" s="4"/>
      <c r="AC785" s="4"/>
      <c r="AD785" s="4"/>
    </row>
    <row r="786" ht="13.5" customHeight="1" spans="1:30" x14ac:dyDescent="0.25">
      <c r="A786" s="4"/>
      <c r="B786" s="4"/>
      <c r="E786" s="4"/>
      <c r="F786" s="4"/>
      <c r="G786" s="4"/>
      <c r="H786" s="4"/>
      <c r="I786" s="4"/>
      <c r="J786" s="4"/>
      <c r="K786" s="4"/>
      <c r="L786" s="4"/>
      <c r="M786" s="4"/>
      <c r="N786" s="4"/>
      <c r="O786" s="4"/>
      <c r="P786" s="4"/>
      <c r="T786" s="4"/>
      <c r="U786" s="4"/>
      <c r="V786" s="4"/>
      <c r="W786" s="4"/>
      <c r="X786" s="4"/>
      <c r="Y786" s="4"/>
      <c r="Z786" s="4"/>
      <c r="AA786" s="4"/>
      <c r="AB786" s="4"/>
      <c r="AC786" s="4"/>
      <c r="AD786" s="4"/>
    </row>
    <row r="787" ht="13.5" customHeight="1" spans="1:30" x14ac:dyDescent="0.25">
      <c r="A787" s="4"/>
      <c r="B787" s="4"/>
      <c r="E787" s="4"/>
      <c r="F787" s="4"/>
      <c r="G787" s="4"/>
      <c r="H787" s="4"/>
      <c r="I787" s="4"/>
      <c r="J787" s="4"/>
      <c r="K787" s="4"/>
      <c r="L787" s="4"/>
      <c r="M787" s="4"/>
      <c r="N787" s="4"/>
      <c r="O787" s="4"/>
      <c r="P787" s="4"/>
      <c r="T787" s="4"/>
      <c r="U787" s="4"/>
      <c r="V787" s="4"/>
      <c r="W787" s="4"/>
      <c r="X787" s="4"/>
      <c r="Y787" s="4"/>
      <c r="Z787" s="4"/>
      <c r="AA787" s="4"/>
      <c r="AB787" s="4"/>
      <c r="AC787" s="4"/>
      <c r="AD787" s="4"/>
    </row>
    <row r="788" ht="13.5" customHeight="1" spans="1:30" x14ac:dyDescent="0.25">
      <c r="A788" s="4"/>
      <c r="B788" s="4"/>
      <c r="E788" s="4"/>
      <c r="F788" s="4"/>
      <c r="G788" s="4"/>
      <c r="H788" s="4"/>
      <c r="I788" s="4"/>
      <c r="J788" s="4"/>
      <c r="K788" s="4"/>
      <c r="L788" s="4"/>
      <c r="M788" s="4"/>
      <c r="N788" s="4"/>
      <c r="O788" s="4"/>
      <c r="P788" s="4"/>
      <c r="T788" s="4"/>
      <c r="U788" s="4"/>
      <c r="V788" s="4"/>
      <c r="W788" s="4"/>
      <c r="X788" s="4"/>
      <c r="Y788" s="4"/>
      <c r="Z788" s="4"/>
      <c r="AA788" s="4"/>
      <c r="AB788" s="4"/>
      <c r="AC788" s="4"/>
      <c r="AD788" s="4"/>
    </row>
    <row r="789" ht="13.5" customHeight="1" spans="1:30" x14ac:dyDescent="0.25">
      <c r="A789" s="4"/>
      <c r="B789" s="4"/>
      <c r="E789" s="4"/>
      <c r="F789" s="4"/>
      <c r="G789" s="4"/>
      <c r="H789" s="4"/>
      <c r="I789" s="4"/>
      <c r="J789" s="4"/>
      <c r="K789" s="4"/>
      <c r="L789" s="4"/>
      <c r="M789" s="4"/>
      <c r="N789" s="4"/>
      <c r="O789" s="4"/>
      <c r="P789" s="4"/>
      <c r="T789" s="4"/>
      <c r="U789" s="4"/>
      <c r="V789" s="4"/>
      <c r="W789" s="4"/>
      <c r="X789" s="4"/>
      <c r="Y789" s="4"/>
      <c r="Z789" s="4"/>
      <c r="AA789" s="4"/>
      <c r="AB789" s="4"/>
      <c r="AC789" s="4"/>
      <c r="AD789" s="4"/>
    </row>
    <row r="790" ht="13.5" customHeight="1" spans="1:30" x14ac:dyDescent="0.25">
      <c r="A790" s="4"/>
      <c r="B790" s="4"/>
      <c r="E790" s="4"/>
      <c r="F790" s="4"/>
      <c r="G790" s="4"/>
      <c r="H790" s="4"/>
      <c r="I790" s="4"/>
      <c r="J790" s="4"/>
      <c r="K790" s="4"/>
      <c r="L790" s="4"/>
      <c r="M790" s="4"/>
      <c r="N790" s="4"/>
      <c r="O790" s="4"/>
      <c r="P790" s="4"/>
      <c r="T790" s="4"/>
      <c r="U790" s="4"/>
      <c r="V790" s="4"/>
      <c r="W790" s="4"/>
      <c r="X790" s="4"/>
      <c r="Y790" s="4"/>
      <c r="Z790" s="4"/>
      <c r="AA790" s="4"/>
      <c r="AB790" s="4"/>
      <c r="AC790" s="4"/>
      <c r="AD790" s="4"/>
    </row>
    <row r="791" ht="13.5" customHeight="1" spans="1:30" x14ac:dyDescent="0.25">
      <c r="A791" s="4"/>
      <c r="B791" s="4"/>
      <c r="E791" s="4"/>
      <c r="F791" s="4"/>
      <c r="G791" s="4"/>
      <c r="H791" s="4"/>
      <c r="I791" s="4"/>
      <c r="J791" s="4"/>
      <c r="K791" s="4"/>
      <c r="L791" s="4"/>
      <c r="M791" s="4"/>
      <c r="N791" s="4"/>
      <c r="O791" s="4"/>
      <c r="P791" s="4"/>
      <c r="T791" s="4"/>
      <c r="U791" s="4"/>
      <c r="V791" s="4"/>
      <c r="W791" s="4"/>
      <c r="X791" s="4"/>
      <c r="Y791" s="4"/>
      <c r="Z791" s="4"/>
      <c r="AA791" s="4"/>
      <c r="AB791" s="4"/>
      <c r="AC791" s="4"/>
      <c r="AD791" s="4"/>
    </row>
    <row r="792" ht="13.5" customHeight="1" spans="1:30" x14ac:dyDescent="0.25">
      <c r="A792" s="4"/>
      <c r="B792" s="4"/>
      <c r="E792" s="4"/>
      <c r="F792" s="4"/>
      <c r="G792" s="4"/>
      <c r="H792" s="4"/>
      <c r="I792" s="4"/>
      <c r="J792" s="4"/>
      <c r="K792" s="4"/>
      <c r="L792" s="4"/>
      <c r="M792" s="4"/>
      <c r="N792" s="4"/>
      <c r="O792" s="4"/>
      <c r="P792" s="4"/>
      <c r="T792" s="4"/>
      <c r="U792" s="4"/>
      <c r="V792" s="4"/>
      <c r="W792" s="4"/>
      <c r="X792" s="4"/>
      <c r="Y792" s="4"/>
      <c r="Z792" s="4"/>
      <c r="AA792" s="4"/>
      <c r="AB792" s="4"/>
      <c r="AC792" s="4"/>
      <c r="AD792" s="4"/>
    </row>
    <row r="793" ht="13.5" customHeight="1" spans="1:30" x14ac:dyDescent="0.25">
      <c r="A793" s="4"/>
      <c r="B793" s="4"/>
      <c r="E793" s="4"/>
      <c r="F793" s="4"/>
      <c r="G793" s="4"/>
      <c r="H793" s="4"/>
      <c r="I793" s="4"/>
      <c r="J793" s="4"/>
      <c r="K793" s="4"/>
      <c r="L793" s="4"/>
      <c r="M793" s="4"/>
      <c r="N793" s="4"/>
      <c r="O793" s="4"/>
      <c r="P793" s="4"/>
      <c r="T793" s="4"/>
      <c r="U793" s="4"/>
      <c r="V793" s="4"/>
      <c r="W793" s="4"/>
      <c r="X793" s="4"/>
      <c r="Y793" s="4"/>
      <c r="Z793" s="4"/>
      <c r="AA793" s="4"/>
      <c r="AB793" s="4"/>
      <c r="AC793" s="4"/>
      <c r="AD793" s="4"/>
    </row>
    <row r="794" ht="13.5" customHeight="1" spans="1:30" x14ac:dyDescent="0.25">
      <c r="A794" s="4"/>
      <c r="B794" s="4"/>
      <c r="E794" s="4"/>
      <c r="F794" s="4"/>
      <c r="G794" s="4"/>
      <c r="H794" s="4"/>
      <c r="I794" s="4"/>
      <c r="J794" s="4"/>
      <c r="K794" s="4"/>
      <c r="L794" s="4"/>
      <c r="M794" s="4"/>
      <c r="N794" s="4"/>
      <c r="O794" s="4"/>
      <c r="P794" s="4"/>
      <c r="T794" s="4"/>
      <c r="U794" s="4"/>
      <c r="V794" s="4"/>
      <c r="W794" s="4"/>
      <c r="X794" s="4"/>
      <c r="Y794" s="4"/>
      <c r="Z794" s="4"/>
      <c r="AA794" s="4"/>
      <c r="AB794" s="4"/>
      <c r="AC794" s="4"/>
      <c r="AD794" s="4"/>
    </row>
    <row r="795" ht="13.5" customHeight="1" spans="1:30" x14ac:dyDescent="0.25">
      <c r="A795" s="4"/>
      <c r="B795" s="4"/>
      <c r="E795" s="4"/>
      <c r="F795" s="4"/>
      <c r="G795" s="4"/>
      <c r="H795" s="4"/>
      <c r="I795" s="4"/>
      <c r="J795" s="4"/>
      <c r="K795" s="4"/>
      <c r="L795" s="4"/>
      <c r="M795" s="4"/>
      <c r="N795" s="4"/>
      <c r="O795" s="4"/>
      <c r="P795" s="4"/>
      <c r="T795" s="4"/>
      <c r="U795" s="4"/>
      <c r="V795" s="4"/>
      <c r="W795" s="4"/>
      <c r="X795" s="4"/>
      <c r="Y795" s="4"/>
      <c r="Z795" s="4"/>
      <c r="AA795" s="4"/>
      <c r="AB795" s="4"/>
      <c r="AC795" s="4"/>
      <c r="AD795" s="4"/>
    </row>
    <row r="796" ht="13.5" customHeight="1" spans="1:30" x14ac:dyDescent="0.25">
      <c r="A796" s="4"/>
      <c r="B796" s="4"/>
      <c r="E796" s="4"/>
      <c r="F796" s="4"/>
      <c r="G796" s="4"/>
      <c r="H796" s="4"/>
      <c r="I796" s="4"/>
      <c r="J796" s="4"/>
      <c r="K796" s="4"/>
      <c r="L796" s="4"/>
      <c r="M796" s="4"/>
      <c r="N796" s="4"/>
      <c r="O796" s="4"/>
      <c r="P796" s="4"/>
      <c r="T796" s="4"/>
      <c r="U796" s="4"/>
      <c r="V796" s="4"/>
      <c r="W796" s="4"/>
      <c r="X796" s="4"/>
      <c r="Y796" s="4"/>
      <c r="Z796" s="4"/>
      <c r="AA796" s="4"/>
      <c r="AB796" s="4"/>
      <c r="AC796" s="4"/>
      <c r="AD796" s="4"/>
    </row>
    <row r="797" ht="13.5" customHeight="1" spans="1:30" x14ac:dyDescent="0.25">
      <c r="A797" s="4"/>
      <c r="B797" s="4"/>
      <c r="E797" s="4"/>
      <c r="F797" s="4"/>
      <c r="G797" s="4"/>
      <c r="H797" s="4"/>
      <c r="I797" s="4"/>
      <c r="J797" s="4"/>
      <c r="K797" s="4"/>
      <c r="L797" s="4"/>
      <c r="M797" s="4"/>
      <c r="N797" s="4"/>
      <c r="O797" s="4"/>
      <c r="P797" s="4"/>
      <c r="T797" s="4"/>
      <c r="U797" s="4"/>
      <c r="V797" s="4"/>
      <c r="W797" s="4"/>
      <c r="X797" s="4"/>
      <c r="Y797" s="4"/>
      <c r="Z797" s="4"/>
      <c r="AA797" s="4"/>
      <c r="AB797" s="4"/>
      <c r="AC797" s="4"/>
      <c r="AD797" s="4"/>
    </row>
    <row r="798" ht="13.5" customHeight="1" spans="1:30" x14ac:dyDescent="0.25">
      <c r="A798" s="4"/>
      <c r="B798" s="4"/>
      <c r="E798" s="4"/>
      <c r="F798" s="4"/>
      <c r="G798" s="4"/>
      <c r="H798" s="4"/>
      <c r="I798" s="4"/>
      <c r="J798" s="4"/>
      <c r="K798" s="4"/>
      <c r="L798" s="4"/>
      <c r="M798" s="4"/>
      <c r="N798" s="4"/>
      <c r="O798" s="4"/>
      <c r="P798" s="4"/>
      <c r="T798" s="4"/>
      <c r="U798" s="4"/>
      <c r="V798" s="4"/>
      <c r="W798" s="4"/>
      <c r="X798" s="4"/>
      <c r="Y798" s="4"/>
      <c r="Z798" s="4"/>
      <c r="AA798" s="4"/>
      <c r="AB798" s="4"/>
      <c r="AC798" s="4"/>
      <c r="AD798" s="4"/>
    </row>
    <row r="799" ht="13.5" customHeight="1" spans="1:30" x14ac:dyDescent="0.25">
      <c r="A799" s="4"/>
      <c r="B799" s="4"/>
      <c r="E799" s="4"/>
      <c r="F799" s="4"/>
      <c r="G799" s="4"/>
      <c r="H799" s="4"/>
      <c r="I799" s="4"/>
      <c r="J799" s="4"/>
      <c r="K799" s="4"/>
      <c r="L799" s="4"/>
      <c r="M799" s="4"/>
      <c r="N799" s="4"/>
      <c r="O799" s="4"/>
      <c r="P799" s="4"/>
      <c r="T799" s="4"/>
      <c r="U799" s="4"/>
      <c r="V799" s="4"/>
      <c r="W799" s="4"/>
      <c r="X799" s="4"/>
      <c r="Y799" s="4"/>
      <c r="Z799" s="4"/>
      <c r="AA799" s="4"/>
      <c r="AB799" s="4"/>
      <c r="AC799" s="4"/>
      <c r="AD799" s="4"/>
    </row>
    <row r="800" ht="13.5" customHeight="1" spans="1:30" x14ac:dyDescent="0.25">
      <c r="A800" s="4"/>
      <c r="B800" s="4"/>
      <c r="E800" s="4"/>
      <c r="F800" s="4"/>
      <c r="G800" s="4"/>
      <c r="H800" s="4"/>
      <c r="I800" s="4"/>
      <c r="J800" s="4"/>
      <c r="K800" s="4"/>
      <c r="L800" s="4"/>
      <c r="M800" s="4"/>
      <c r="N800" s="4"/>
      <c r="O800" s="4"/>
      <c r="P800" s="4"/>
      <c r="T800" s="4"/>
      <c r="U800" s="4"/>
      <c r="V800" s="4"/>
      <c r="W800" s="4"/>
      <c r="X800" s="4"/>
      <c r="Y800" s="4"/>
      <c r="Z800" s="4"/>
      <c r="AA800" s="4"/>
      <c r="AB800" s="4"/>
      <c r="AC800" s="4"/>
      <c r="AD800" s="4"/>
    </row>
    <row r="801" ht="13.5" customHeight="1" spans="1:30" x14ac:dyDescent="0.25">
      <c r="A801" s="4"/>
      <c r="B801" s="4"/>
      <c r="E801" s="4"/>
      <c r="F801" s="4"/>
      <c r="G801" s="4"/>
      <c r="H801" s="4"/>
      <c r="I801" s="4"/>
      <c r="J801" s="4"/>
      <c r="K801" s="4"/>
      <c r="L801" s="4"/>
      <c r="M801" s="4"/>
      <c r="N801" s="4"/>
      <c r="O801" s="4"/>
      <c r="P801" s="4"/>
      <c r="T801" s="4"/>
      <c r="U801" s="4"/>
      <c r="V801" s="4"/>
      <c r="W801" s="4"/>
      <c r="X801" s="4"/>
      <c r="Y801" s="4"/>
      <c r="Z801" s="4"/>
      <c r="AA801" s="4"/>
      <c r="AB801" s="4"/>
      <c r="AC801" s="4"/>
      <c r="AD801" s="4"/>
    </row>
    <row r="802" ht="13.5" customHeight="1" spans="1:30" x14ac:dyDescent="0.25">
      <c r="A802" s="4"/>
      <c r="B802" s="4"/>
      <c r="E802" s="4"/>
      <c r="F802" s="4"/>
      <c r="G802" s="4"/>
      <c r="H802" s="4"/>
      <c r="I802" s="4"/>
      <c r="J802" s="4"/>
      <c r="K802" s="4"/>
      <c r="L802" s="4"/>
      <c r="M802" s="4"/>
      <c r="N802" s="4"/>
      <c r="O802" s="4"/>
      <c r="P802" s="4"/>
      <c r="T802" s="4"/>
      <c r="U802" s="4"/>
      <c r="V802" s="4"/>
      <c r="W802" s="4"/>
      <c r="X802" s="4"/>
      <c r="Y802" s="4"/>
      <c r="Z802" s="4"/>
      <c r="AA802" s="4"/>
      <c r="AB802" s="4"/>
      <c r="AC802" s="4"/>
      <c r="AD802" s="4"/>
    </row>
    <row r="803" ht="13.5" customHeight="1" spans="1:30" x14ac:dyDescent="0.25">
      <c r="A803" s="4"/>
      <c r="B803" s="4"/>
      <c r="E803" s="4"/>
      <c r="F803" s="4"/>
      <c r="G803" s="4"/>
      <c r="H803" s="4"/>
      <c r="I803" s="4"/>
      <c r="J803" s="4"/>
      <c r="K803" s="4"/>
      <c r="L803" s="4"/>
      <c r="M803" s="4"/>
      <c r="N803" s="4"/>
      <c r="O803" s="4"/>
      <c r="P803" s="4"/>
      <c r="T803" s="4"/>
      <c r="U803" s="4"/>
      <c r="V803" s="4"/>
      <c r="W803" s="4"/>
      <c r="X803" s="4"/>
      <c r="Y803" s="4"/>
      <c r="Z803" s="4"/>
      <c r="AA803" s="4"/>
      <c r="AB803" s="4"/>
      <c r="AC803" s="4"/>
      <c r="AD803" s="4"/>
    </row>
    <row r="804" ht="13.5" customHeight="1" spans="1:30" x14ac:dyDescent="0.25">
      <c r="A804" s="4"/>
      <c r="B804" s="4"/>
      <c r="E804" s="4"/>
      <c r="F804" s="4"/>
      <c r="G804" s="4"/>
      <c r="H804" s="4"/>
      <c r="I804" s="4"/>
      <c r="J804" s="4"/>
      <c r="K804" s="4"/>
      <c r="L804" s="4"/>
      <c r="M804" s="4"/>
      <c r="N804" s="4"/>
      <c r="O804" s="4"/>
      <c r="P804" s="4"/>
      <c r="T804" s="4"/>
      <c r="U804" s="4"/>
      <c r="V804" s="4"/>
      <c r="W804" s="4"/>
      <c r="X804" s="4"/>
      <c r="Y804" s="4"/>
      <c r="Z804" s="4"/>
      <c r="AA804" s="4"/>
      <c r="AB804" s="4"/>
      <c r="AC804" s="4"/>
      <c r="AD804" s="4"/>
    </row>
    <row r="805" ht="13.5" customHeight="1" spans="1:30" x14ac:dyDescent="0.25">
      <c r="A805" s="4"/>
      <c r="B805" s="4"/>
      <c r="E805" s="4"/>
      <c r="F805" s="4"/>
      <c r="G805" s="4"/>
      <c r="H805" s="4"/>
      <c r="I805" s="4"/>
      <c r="J805" s="4"/>
      <c r="K805" s="4"/>
      <c r="L805" s="4"/>
      <c r="M805" s="4"/>
      <c r="N805" s="4"/>
      <c r="O805" s="4"/>
      <c r="P805" s="4"/>
      <c r="T805" s="4"/>
      <c r="U805" s="4"/>
      <c r="V805" s="4"/>
      <c r="W805" s="4"/>
      <c r="X805" s="4"/>
      <c r="Y805" s="4"/>
      <c r="Z805" s="4"/>
      <c r="AA805" s="4"/>
      <c r="AB805" s="4"/>
      <c r="AC805" s="4"/>
      <c r="AD805" s="4"/>
    </row>
    <row r="806" ht="13.5" customHeight="1" spans="1:30" x14ac:dyDescent="0.25">
      <c r="A806" s="4"/>
      <c r="B806" s="4"/>
      <c r="E806" s="4"/>
      <c r="F806" s="4"/>
      <c r="G806" s="4"/>
      <c r="H806" s="4"/>
      <c r="I806" s="4"/>
      <c r="J806" s="4"/>
      <c r="K806" s="4"/>
      <c r="L806" s="4"/>
      <c r="M806" s="4"/>
      <c r="N806" s="4"/>
      <c r="O806" s="4"/>
      <c r="P806" s="4"/>
      <c r="T806" s="4"/>
      <c r="U806" s="4"/>
      <c r="V806" s="4"/>
      <c r="W806" s="4"/>
      <c r="X806" s="4"/>
      <c r="Y806" s="4"/>
      <c r="Z806" s="4"/>
      <c r="AA806" s="4"/>
      <c r="AB806" s="4"/>
      <c r="AC806" s="4"/>
      <c r="AD806" s="4"/>
    </row>
    <row r="807" ht="13.5" customHeight="1" spans="1:30" x14ac:dyDescent="0.25">
      <c r="A807" s="4"/>
      <c r="B807" s="4"/>
      <c r="E807" s="4"/>
      <c r="F807" s="4"/>
      <c r="G807" s="4"/>
      <c r="H807" s="4"/>
      <c r="I807" s="4"/>
      <c r="J807" s="4"/>
      <c r="K807" s="4"/>
      <c r="L807" s="4"/>
      <c r="M807" s="4"/>
      <c r="N807" s="4"/>
      <c r="O807" s="4"/>
      <c r="P807" s="4"/>
      <c r="T807" s="4"/>
      <c r="U807" s="4"/>
      <c r="V807" s="4"/>
      <c r="W807" s="4"/>
      <c r="X807" s="4"/>
      <c r="Y807" s="4"/>
      <c r="Z807" s="4"/>
      <c r="AA807" s="4"/>
      <c r="AB807" s="4"/>
      <c r="AC807" s="4"/>
      <c r="AD807" s="4"/>
    </row>
    <row r="808" ht="13.5" customHeight="1" spans="1:30" x14ac:dyDescent="0.25">
      <c r="A808" s="4"/>
      <c r="B808" s="4"/>
      <c r="E808" s="4"/>
      <c r="F808" s="4"/>
      <c r="G808" s="4"/>
      <c r="H808" s="4"/>
      <c r="I808" s="4"/>
      <c r="J808" s="4"/>
      <c r="K808" s="4"/>
      <c r="L808" s="4"/>
      <c r="M808" s="4"/>
      <c r="N808" s="4"/>
      <c r="O808" s="4"/>
      <c r="P808" s="4"/>
      <c r="T808" s="4"/>
      <c r="U808" s="4"/>
      <c r="V808" s="4"/>
      <c r="W808" s="4"/>
      <c r="X808" s="4"/>
      <c r="Y808" s="4"/>
      <c r="Z808" s="4"/>
      <c r="AA808" s="4"/>
      <c r="AB808" s="4"/>
      <c r="AC808" s="4"/>
      <c r="AD808" s="4"/>
    </row>
    <row r="809" ht="13.5" customHeight="1" spans="1:30" x14ac:dyDescent="0.25">
      <c r="A809" s="4"/>
      <c r="B809" s="4"/>
      <c r="E809" s="4"/>
      <c r="F809" s="4"/>
      <c r="G809" s="4"/>
      <c r="H809" s="4"/>
      <c r="I809" s="4"/>
      <c r="J809" s="4"/>
      <c r="K809" s="4"/>
      <c r="L809" s="4"/>
      <c r="M809" s="4"/>
      <c r="N809" s="4"/>
      <c r="O809" s="4"/>
      <c r="P809" s="4"/>
      <c r="T809" s="4"/>
      <c r="U809" s="4"/>
      <c r="V809" s="4"/>
      <c r="W809" s="4"/>
      <c r="X809" s="4"/>
      <c r="Y809" s="4"/>
      <c r="Z809" s="4"/>
      <c r="AA809" s="4"/>
      <c r="AB809" s="4"/>
      <c r="AC809" s="4"/>
      <c r="AD809" s="4"/>
    </row>
    <row r="810" ht="13.5" customHeight="1" spans="1:30" x14ac:dyDescent="0.25">
      <c r="A810" s="4"/>
      <c r="B810" s="4"/>
      <c r="E810" s="4"/>
      <c r="F810" s="4"/>
      <c r="G810" s="4"/>
      <c r="H810" s="4"/>
      <c r="I810" s="4"/>
      <c r="J810" s="4"/>
      <c r="K810" s="4"/>
      <c r="L810" s="4"/>
      <c r="M810" s="4"/>
      <c r="N810" s="4"/>
      <c r="O810" s="4"/>
      <c r="P810" s="4"/>
      <c r="T810" s="4"/>
      <c r="U810" s="4"/>
      <c r="V810" s="4"/>
      <c r="W810" s="4"/>
      <c r="X810" s="4"/>
      <c r="Y810" s="4"/>
      <c r="Z810" s="4"/>
      <c r="AA810" s="4"/>
      <c r="AB810" s="4"/>
      <c r="AC810" s="4"/>
      <c r="AD810" s="4"/>
    </row>
    <row r="811" ht="13.5" customHeight="1" spans="1:30" x14ac:dyDescent="0.25">
      <c r="A811" s="4"/>
      <c r="B811" s="4"/>
      <c r="E811" s="4"/>
      <c r="F811" s="4"/>
      <c r="G811" s="4"/>
      <c r="H811" s="4"/>
      <c r="I811" s="4"/>
      <c r="J811" s="4"/>
      <c r="K811" s="4"/>
      <c r="L811" s="4"/>
      <c r="M811" s="4"/>
      <c r="N811" s="4"/>
      <c r="O811" s="4"/>
      <c r="P811" s="4"/>
      <c r="T811" s="4"/>
      <c r="U811" s="4"/>
      <c r="V811" s="4"/>
      <c r="W811" s="4"/>
      <c r="X811" s="4"/>
      <c r="Y811" s="4"/>
      <c r="Z811" s="4"/>
      <c r="AA811" s="4"/>
      <c r="AB811" s="4"/>
      <c r="AC811" s="4"/>
      <c r="AD811" s="4"/>
    </row>
    <row r="812" ht="13.5" customHeight="1" spans="1:30" x14ac:dyDescent="0.25">
      <c r="A812" s="4"/>
      <c r="B812" s="4"/>
      <c r="E812" s="4"/>
      <c r="F812" s="4"/>
      <c r="G812" s="4"/>
      <c r="H812" s="4"/>
      <c r="I812" s="4"/>
      <c r="J812" s="4"/>
      <c r="K812" s="4"/>
      <c r="L812" s="4"/>
      <c r="M812" s="4"/>
      <c r="N812" s="4"/>
      <c r="O812" s="4"/>
      <c r="P812" s="4"/>
      <c r="T812" s="4"/>
      <c r="U812" s="4"/>
      <c r="V812" s="4"/>
      <c r="W812" s="4"/>
      <c r="X812" s="4"/>
      <c r="Y812" s="4"/>
      <c r="Z812" s="4"/>
      <c r="AA812" s="4"/>
      <c r="AB812" s="4"/>
      <c r="AC812" s="4"/>
      <c r="AD812" s="4"/>
    </row>
    <row r="813" ht="13.5" customHeight="1" spans="1:30" x14ac:dyDescent="0.25">
      <c r="A813" s="4"/>
      <c r="B813" s="4"/>
      <c r="E813" s="4"/>
      <c r="F813" s="4"/>
      <c r="G813" s="4"/>
      <c r="H813" s="4"/>
      <c r="I813" s="4"/>
      <c r="J813" s="4"/>
      <c r="K813" s="4"/>
      <c r="L813" s="4"/>
      <c r="M813" s="4"/>
      <c r="N813" s="4"/>
      <c r="O813" s="4"/>
      <c r="P813" s="4"/>
      <c r="T813" s="4"/>
      <c r="U813" s="4"/>
      <c r="V813" s="4"/>
      <c r="W813" s="4"/>
      <c r="X813" s="4"/>
      <c r="Y813" s="4"/>
      <c r="Z813" s="4"/>
      <c r="AA813" s="4"/>
      <c r="AB813" s="4"/>
      <c r="AC813" s="4"/>
      <c r="AD813" s="4"/>
    </row>
    <row r="814" ht="13.5" customHeight="1" spans="1:30" x14ac:dyDescent="0.25">
      <c r="A814" s="4"/>
      <c r="B814" s="4"/>
      <c r="E814" s="4"/>
      <c r="F814" s="4"/>
      <c r="G814" s="4"/>
      <c r="H814" s="4"/>
      <c r="I814" s="4"/>
      <c r="J814" s="4"/>
      <c r="K814" s="4"/>
      <c r="L814" s="4"/>
      <c r="M814" s="4"/>
      <c r="N814" s="4"/>
      <c r="O814" s="4"/>
      <c r="P814" s="4"/>
      <c r="T814" s="4"/>
      <c r="U814" s="4"/>
      <c r="V814" s="4"/>
      <c r="W814" s="4"/>
      <c r="X814" s="4"/>
      <c r="Y814" s="4"/>
      <c r="Z814" s="4"/>
      <c r="AA814" s="4"/>
      <c r="AB814" s="4"/>
      <c r="AC814" s="4"/>
      <c r="AD814" s="4"/>
    </row>
    <row r="815" ht="13.5" customHeight="1" spans="1:30" x14ac:dyDescent="0.25">
      <c r="A815" s="4"/>
      <c r="B815" s="4"/>
      <c r="E815" s="4"/>
      <c r="F815" s="4"/>
      <c r="G815" s="4"/>
      <c r="H815" s="4"/>
      <c r="I815" s="4"/>
      <c r="J815" s="4"/>
      <c r="K815" s="4"/>
      <c r="L815" s="4"/>
      <c r="M815" s="4"/>
      <c r="N815" s="4"/>
      <c r="O815" s="4"/>
      <c r="P815" s="4"/>
      <c r="T815" s="4"/>
      <c r="U815" s="4"/>
      <c r="V815" s="4"/>
      <c r="W815" s="4"/>
      <c r="X815" s="4"/>
      <c r="Y815" s="4"/>
      <c r="Z815" s="4"/>
      <c r="AA815" s="4"/>
      <c r="AB815" s="4"/>
      <c r="AC815" s="4"/>
      <c r="AD815" s="4"/>
    </row>
    <row r="816" ht="13.5" customHeight="1" spans="1:30" x14ac:dyDescent="0.25">
      <c r="A816" s="4"/>
      <c r="B816" s="4"/>
      <c r="E816" s="4"/>
      <c r="F816" s="4"/>
      <c r="G816" s="4"/>
      <c r="H816" s="4"/>
      <c r="I816" s="4"/>
      <c r="J816" s="4"/>
      <c r="K816" s="4"/>
      <c r="L816" s="4"/>
      <c r="M816" s="4"/>
      <c r="N816" s="4"/>
      <c r="O816" s="4"/>
      <c r="P816" s="4"/>
      <c r="T816" s="4"/>
      <c r="U816" s="4"/>
      <c r="V816" s="4"/>
      <c r="W816" s="4"/>
      <c r="X816" s="4"/>
      <c r="Y816" s="4"/>
      <c r="Z816" s="4"/>
      <c r="AA816" s="4"/>
      <c r="AB816" s="4"/>
      <c r="AC816" s="4"/>
      <c r="AD816" s="4"/>
    </row>
    <row r="817" ht="13.5" customHeight="1" spans="1:30" x14ac:dyDescent="0.25">
      <c r="A817" s="4"/>
      <c r="B817" s="4"/>
      <c r="E817" s="4"/>
      <c r="F817" s="4"/>
      <c r="G817" s="4"/>
      <c r="H817" s="4"/>
      <c r="I817" s="4"/>
      <c r="J817" s="4"/>
      <c r="K817" s="4"/>
      <c r="L817" s="4"/>
      <c r="M817" s="4"/>
      <c r="N817" s="4"/>
      <c r="O817" s="4"/>
      <c r="P817" s="4"/>
      <c r="T817" s="4"/>
      <c r="U817" s="4"/>
      <c r="V817" s="4"/>
      <c r="W817" s="4"/>
      <c r="X817" s="4"/>
      <c r="Y817" s="4"/>
      <c r="Z817" s="4"/>
      <c r="AA817" s="4"/>
      <c r="AB817" s="4"/>
      <c r="AC817" s="4"/>
      <c r="AD817" s="4"/>
    </row>
    <row r="818" ht="13.5" customHeight="1" spans="1:30" x14ac:dyDescent="0.25">
      <c r="A818" s="4"/>
      <c r="B818" s="4"/>
      <c r="E818" s="4"/>
      <c r="F818" s="4"/>
      <c r="G818" s="4"/>
      <c r="H818" s="4"/>
      <c r="I818" s="4"/>
      <c r="J818" s="4"/>
      <c r="K818" s="4"/>
      <c r="L818" s="4"/>
      <c r="M818" s="4"/>
      <c r="N818" s="4"/>
      <c r="O818" s="4"/>
      <c r="P818" s="4"/>
      <c r="T818" s="4"/>
      <c r="U818" s="4"/>
      <c r="V818" s="4"/>
      <c r="W818" s="4"/>
      <c r="X818" s="4"/>
      <c r="Y818" s="4"/>
      <c r="Z818" s="4"/>
      <c r="AA818" s="4"/>
      <c r="AB818" s="4"/>
      <c r="AC818" s="4"/>
      <c r="AD818" s="4"/>
    </row>
    <row r="819" ht="13.5" customHeight="1" spans="1:30" x14ac:dyDescent="0.25">
      <c r="A819" s="4"/>
      <c r="B819" s="4"/>
      <c r="E819" s="4"/>
      <c r="F819" s="4"/>
      <c r="G819" s="4"/>
      <c r="H819" s="4"/>
      <c r="I819" s="4"/>
      <c r="J819" s="4"/>
      <c r="K819" s="4"/>
      <c r="L819" s="4"/>
      <c r="M819" s="4"/>
      <c r="N819" s="4"/>
      <c r="O819" s="4"/>
      <c r="P819" s="4"/>
      <c r="T819" s="4"/>
      <c r="U819" s="4"/>
      <c r="V819" s="4"/>
      <c r="W819" s="4"/>
      <c r="X819" s="4"/>
      <c r="Y819" s="4"/>
      <c r="Z819" s="4"/>
      <c r="AA819" s="4"/>
      <c r="AB819" s="4"/>
      <c r="AC819" s="4"/>
      <c r="AD819" s="4"/>
    </row>
    <row r="820" ht="13.5" customHeight="1" spans="1:30" x14ac:dyDescent="0.25">
      <c r="A820" s="4"/>
      <c r="B820" s="4"/>
      <c r="E820" s="4"/>
      <c r="F820" s="4"/>
      <c r="G820" s="4"/>
      <c r="H820" s="4"/>
      <c r="I820" s="4"/>
      <c r="J820" s="4"/>
      <c r="K820" s="4"/>
      <c r="L820" s="4"/>
      <c r="M820" s="4"/>
      <c r="N820" s="4"/>
      <c r="O820" s="4"/>
      <c r="P820" s="4"/>
      <c r="T820" s="4"/>
      <c r="U820" s="4"/>
      <c r="V820" s="4"/>
      <c r="W820" s="4"/>
      <c r="X820" s="4"/>
      <c r="Y820" s="4"/>
      <c r="Z820" s="4"/>
      <c r="AA820" s="4"/>
      <c r="AB820" s="4"/>
      <c r="AC820" s="4"/>
      <c r="AD820" s="4"/>
    </row>
    <row r="821" ht="13.5" customHeight="1" spans="1:30" x14ac:dyDescent="0.25">
      <c r="A821" s="4"/>
      <c r="B821" s="4"/>
      <c r="E821" s="4"/>
      <c r="F821" s="4"/>
      <c r="G821" s="4"/>
      <c r="H821" s="4"/>
      <c r="I821" s="4"/>
      <c r="J821" s="4"/>
      <c r="K821" s="4"/>
      <c r="L821" s="4"/>
      <c r="M821" s="4"/>
      <c r="N821" s="4"/>
      <c r="O821" s="4"/>
      <c r="P821" s="4"/>
      <c r="T821" s="4"/>
      <c r="U821" s="4"/>
      <c r="V821" s="4"/>
      <c r="W821" s="4"/>
      <c r="X821" s="4"/>
      <c r="Y821" s="4"/>
      <c r="Z821" s="4"/>
      <c r="AA821" s="4"/>
      <c r="AB821" s="4"/>
      <c r="AC821" s="4"/>
      <c r="AD821" s="4"/>
    </row>
    <row r="822" ht="13.5" customHeight="1" spans="1:30" x14ac:dyDescent="0.25">
      <c r="A822" s="4"/>
      <c r="B822" s="4"/>
      <c r="E822" s="4"/>
      <c r="F822" s="4"/>
      <c r="G822" s="4"/>
      <c r="H822" s="4"/>
      <c r="I822" s="4"/>
      <c r="J822" s="4"/>
      <c r="K822" s="4"/>
      <c r="L822" s="4"/>
      <c r="M822" s="4"/>
      <c r="N822" s="4"/>
      <c r="O822" s="4"/>
      <c r="P822" s="4"/>
      <c r="T822" s="4"/>
      <c r="U822" s="4"/>
      <c r="V822" s="4"/>
      <c r="W822" s="4"/>
      <c r="X822" s="4"/>
      <c r="Y822" s="4"/>
      <c r="Z822" s="4"/>
      <c r="AA822" s="4"/>
      <c r="AB822" s="4"/>
      <c r="AC822" s="4"/>
      <c r="AD822" s="4"/>
    </row>
    <row r="823" ht="13.5" customHeight="1" spans="1:30" x14ac:dyDescent="0.25">
      <c r="A823" s="4"/>
      <c r="B823" s="4"/>
      <c r="E823" s="4"/>
      <c r="F823" s="4"/>
      <c r="G823" s="4"/>
      <c r="H823" s="4"/>
      <c r="I823" s="4"/>
      <c r="J823" s="4"/>
      <c r="K823" s="4"/>
      <c r="L823" s="4"/>
      <c r="M823" s="4"/>
      <c r="N823" s="4"/>
      <c r="O823" s="4"/>
      <c r="P823" s="4"/>
      <c r="T823" s="4"/>
      <c r="U823" s="4"/>
      <c r="V823" s="4"/>
      <c r="W823" s="4"/>
      <c r="X823" s="4"/>
      <c r="Y823" s="4"/>
      <c r="Z823" s="4"/>
      <c r="AA823" s="4"/>
      <c r="AB823" s="4"/>
      <c r="AC823" s="4"/>
      <c r="AD823" s="4"/>
    </row>
    <row r="824" ht="13.5" customHeight="1" spans="1:30" x14ac:dyDescent="0.25">
      <c r="A824" s="4"/>
      <c r="B824" s="4"/>
      <c r="E824" s="4"/>
      <c r="F824" s="4"/>
      <c r="G824" s="4"/>
      <c r="H824" s="4"/>
      <c r="I824" s="4"/>
      <c r="J824" s="4"/>
      <c r="K824" s="4"/>
      <c r="L824" s="4"/>
      <c r="M824" s="4"/>
      <c r="N824" s="4"/>
      <c r="O824" s="4"/>
      <c r="P824" s="4"/>
      <c r="T824" s="4"/>
      <c r="U824" s="4"/>
      <c r="V824" s="4"/>
      <c r="W824" s="4"/>
      <c r="X824" s="4"/>
      <c r="Y824" s="4"/>
      <c r="Z824" s="4"/>
      <c r="AA824" s="4"/>
      <c r="AB824" s="4"/>
      <c r="AC824" s="4"/>
      <c r="AD824" s="4"/>
    </row>
    <row r="825" ht="13.5" customHeight="1" spans="1:30" x14ac:dyDescent="0.25">
      <c r="A825" s="4"/>
      <c r="B825" s="4"/>
      <c r="E825" s="4"/>
      <c r="F825" s="4"/>
      <c r="G825" s="4"/>
      <c r="H825" s="4"/>
      <c r="I825" s="4"/>
      <c r="J825" s="4"/>
      <c r="K825" s="4"/>
      <c r="L825" s="4"/>
      <c r="M825" s="4"/>
      <c r="N825" s="4"/>
      <c r="O825" s="4"/>
      <c r="P825" s="4"/>
      <c r="T825" s="4"/>
      <c r="U825" s="4"/>
      <c r="V825" s="4"/>
      <c r="W825" s="4"/>
      <c r="X825" s="4"/>
      <c r="Y825" s="4"/>
      <c r="Z825" s="4"/>
      <c r="AA825" s="4"/>
      <c r="AB825" s="4"/>
      <c r="AC825" s="4"/>
      <c r="AD825" s="4"/>
    </row>
    <row r="826" ht="13.5" customHeight="1" spans="1:30" x14ac:dyDescent="0.25">
      <c r="A826" s="4"/>
      <c r="B826" s="4"/>
      <c r="E826" s="4"/>
      <c r="F826" s="4"/>
      <c r="G826" s="4"/>
      <c r="H826" s="4"/>
      <c r="I826" s="4"/>
      <c r="J826" s="4"/>
      <c r="K826" s="4"/>
      <c r="L826" s="4"/>
      <c r="M826" s="4"/>
      <c r="N826" s="4"/>
      <c r="O826" s="4"/>
      <c r="P826" s="4"/>
      <c r="T826" s="4"/>
      <c r="U826" s="4"/>
      <c r="V826" s="4"/>
      <c r="W826" s="4"/>
      <c r="X826" s="4"/>
      <c r="Y826" s="4"/>
      <c r="Z826" s="4"/>
      <c r="AA826" s="4"/>
      <c r="AB826" s="4"/>
      <c r="AC826" s="4"/>
      <c r="AD826" s="4"/>
    </row>
    <row r="827" ht="13.5" customHeight="1" spans="1:30" x14ac:dyDescent="0.25">
      <c r="A827" s="4"/>
      <c r="B827" s="4"/>
      <c r="E827" s="4"/>
      <c r="F827" s="4"/>
      <c r="G827" s="4"/>
      <c r="H827" s="4"/>
      <c r="I827" s="4"/>
      <c r="J827" s="4"/>
      <c r="K827" s="4"/>
      <c r="L827" s="4"/>
      <c r="M827" s="4"/>
      <c r="N827" s="4"/>
      <c r="O827" s="4"/>
      <c r="P827" s="4"/>
      <c r="T827" s="4"/>
      <c r="U827" s="4"/>
      <c r="V827" s="4"/>
      <c r="W827" s="4"/>
      <c r="X827" s="4"/>
      <c r="Y827" s="4"/>
      <c r="Z827" s="4"/>
      <c r="AA827" s="4"/>
      <c r="AB827" s="4"/>
      <c r="AC827" s="4"/>
      <c r="AD827" s="4"/>
    </row>
    <row r="828" ht="13.5" customHeight="1" spans="1:30" x14ac:dyDescent="0.25">
      <c r="A828" s="4"/>
      <c r="B828" s="4"/>
      <c r="E828" s="4"/>
      <c r="F828" s="4"/>
      <c r="G828" s="4"/>
      <c r="H828" s="4"/>
      <c r="I828" s="4"/>
      <c r="J828" s="4"/>
      <c r="K828" s="4"/>
      <c r="L828" s="4"/>
      <c r="M828" s="4"/>
      <c r="N828" s="4"/>
      <c r="O828" s="4"/>
      <c r="P828" s="4"/>
      <c r="T828" s="4"/>
      <c r="U828" s="4"/>
      <c r="V828" s="4"/>
      <c r="W828" s="4"/>
      <c r="X828" s="4"/>
      <c r="Y828" s="4"/>
      <c r="Z828" s="4"/>
      <c r="AA828" s="4"/>
      <c r="AB828" s="4"/>
      <c r="AC828" s="4"/>
      <c r="AD828" s="4"/>
    </row>
    <row r="829" ht="13.5" customHeight="1" spans="1:30" x14ac:dyDescent="0.25">
      <c r="A829" s="4"/>
      <c r="B829" s="4"/>
      <c r="E829" s="4"/>
      <c r="F829" s="4"/>
      <c r="G829" s="4"/>
      <c r="H829" s="4"/>
      <c r="I829" s="4"/>
      <c r="J829" s="4"/>
      <c r="K829" s="4"/>
      <c r="L829" s="4"/>
      <c r="M829" s="4"/>
      <c r="N829" s="4"/>
      <c r="O829" s="4"/>
      <c r="P829" s="4"/>
      <c r="T829" s="4"/>
      <c r="U829" s="4"/>
      <c r="V829" s="4"/>
      <c r="W829" s="4"/>
      <c r="X829" s="4"/>
      <c r="Y829" s="4"/>
      <c r="Z829" s="4"/>
      <c r="AA829" s="4"/>
      <c r="AB829" s="4"/>
      <c r="AC829" s="4"/>
      <c r="AD829" s="4"/>
    </row>
    <row r="830" ht="13.5" customHeight="1" spans="1:30" x14ac:dyDescent="0.25">
      <c r="A830" s="4"/>
      <c r="B830" s="4"/>
      <c r="E830" s="4"/>
      <c r="F830" s="4"/>
      <c r="G830" s="4"/>
      <c r="H830" s="4"/>
      <c r="I830" s="4"/>
      <c r="J830" s="4"/>
      <c r="K830" s="4"/>
      <c r="L830" s="4"/>
      <c r="M830" s="4"/>
      <c r="N830" s="4"/>
      <c r="O830" s="4"/>
      <c r="P830" s="4"/>
      <c r="T830" s="4"/>
      <c r="U830" s="4"/>
      <c r="V830" s="4"/>
      <c r="W830" s="4"/>
      <c r="X830" s="4"/>
      <c r="Y830" s="4"/>
      <c r="Z830" s="4"/>
      <c r="AA830" s="4"/>
      <c r="AB830" s="4"/>
      <c r="AC830" s="4"/>
      <c r="AD830" s="4"/>
    </row>
    <row r="831" ht="13.5" customHeight="1" spans="1:30" x14ac:dyDescent="0.25">
      <c r="A831" s="4"/>
      <c r="B831" s="4"/>
      <c r="E831" s="4"/>
      <c r="F831" s="4"/>
      <c r="G831" s="4"/>
      <c r="H831" s="4"/>
      <c r="I831" s="4"/>
      <c r="J831" s="4"/>
      <c r="K831" s="4"/>
      <c r="L831" s="4"/>
      <c r="M831" s="4"/>
      <c r="N831" s="4"/>
      <c r="O831" s="4"/>
      <c r="P831" s="4"/>
      <c r="T831" s="4"/>
      <c r="U831" s="4"/>
      <c r="V831" s="4"/>
      <c r="W831" s="4"/>
      <c r="X831" s="4"/>
      <c r="Y831" s="4"/>
      <c r="Z831" s="4"/>
      <c r="AA831" s="4"/>
      <c r="AB831" s="4"/>
      <c r="AC831" s="4"/>
      <c r="AD831" s="4"/>
    </row>
    <row r="832" ht="13.5" customHeight="1" spans="1:30" x14ac:dyDescent="0.25">
      <c r="A832" s="4"/>
      <c r="B832" s="4"/>
      <c r="E832" s="4"/>
      <c r="F832" s="4"/>
      <c r="G832" s="4"/>
      <c r="H832" s="4"/>
      <c r="I832" s="4"/>
      <c r="J832" s="4"/>
      <c r="K832" s="4"/>
      <c r="L832" s="4"/>
      <c r="M832" s="4"/>
      <c r="N832" s="4"/>
      <c r="O832" s="4"/>
      <c r="P832" s="4"/>
      <c r="T832" s="4"/>
      <c r="U832" s="4"/>
      <c r="V832" s="4"/>
      <c r="W832" s="4"/>
      <c r="X832" s="4"/>
      <c r="Y832" s="4"/>
      <c r="Z832" s="4"/>
      <c r="AA832" s="4"/>
      <c r="AB832" s="4"/>
      <c r="AC832" s="4"/>
      <c r="AD832" s="4"/>
    </row>
    <row r="833" ht="13.5" customHeight="1" spans="1:30" x14ac:dyDescent="0.25">
      <c r="A833" s="4"/>
      <c r="B833" s="4"/>
      <c r="E833" s="4"/>
      <c r="F833" s="4"/>
      <c r="G833" s="4"/>
      <c r="H833" s="4"/>
      <c r="I833" s="4"/>
      <c r="J833" s="4"/>
      <c r="K833" s="4"/>
      <c r="L833" s="4"/>
      <c r="M833" s="4"/>
      <c r="N833" s="4"/>
      <c r="O833" s="4"/>
      <c r="P833" s="4"/>
      <c r="T833" s="4"/>
      <c r="U833" s="4"/>
      <c r="V833" s="4"/>
      <c r="W833" s="4"/>
      <c r="X833" s="4"/>
      <c r="Y833" s="4"/>
      <c r="Z833" s="4"/>
      <c r="AA833" s="4"/>
      <c r="AB833" s="4"/>
      <c r="AC833" s="4"/>
      <c r="AD833" s="4"/>
    </row>
    <row r="834" ht="13.5" customHeight="1" spans="1:30" x14ac:dyDescent="0.25">
      <c r="A834" s="4"/>
      <c r="B834" s="4"/>
      <c r="E834" s="4"/>
      <c r="F834" s="4"/>
      <c r="G834" s="4"/>
      <c r="H834" s="4"/>
      <c r="I834" s="4"/>
      <c r="J834" s="4"/>
      <c r="K834" s="4"/>
      <c r="L834" s="4"/>
      <c r="M834" s="4"/>
      <c r="N834" s="4"/>
      <c r="O834" s="4"/>
      <c r="P834" s="4"/>
      <c r="T834" s="4"/>
      <c r="U834" s="4"/>
      <c r="V834" s="4"/>
      <c r="W834" s="4"/>
      <c r="X834" s="4"/>
      <c r="Y834" s="4"/>
      <c r="Z834" s="4"/>
      <c r="AA834" s="4"/>
      <c r="AB834" s="4"/>
      <c r="AC834" s="4"/>
      <c r="AD834" s="4"/>
    </row>
    <row r="835" ht="13.5" customHeight="1" spans="1:30" x14ac:dyDescent="0.25">
      <c r="A835" s="4"/>
      <c r="B835" s="4"/>
      <c r="E835" s="4"/>
      <c r="F835" s="4"/>
      <c r="G835" s="4"/>
      <c r="H835" s="4"/>
      <c r="I835" s="4"/>
      <c r="J835" s="4"/>
      <c r="K835" s="4"/>
      <c r="L835" s="4"/>
      <c r="M835" s="4"/>
      <c r="N835" s="4"/>
      <c r="O835" s="4"/>
      <c r="P835" s="4"/>
      <c r="T835" s="4"/>
      <c r="U835" s="4"/>
      <c r="V835" s="4"/>
      <c r="W835" s="4"/>
      <c r="X835" s="4"/>
      <c r="Y835" s="4"/>
      <c r="Z835" s="4"/>
      <c r="AA835" s="4"/>
      <c r="AB835" s="4"/>
      <c r="AC835" s="4"/>
      <c r="AD835" s="4"/>
    </row>
    <row r="836" ht="13.5" customHeight="1" spans="1:30" x14ac:dyDescent="0.25">
      <c r="A836" s="4"/>
      <c r="B836" s="4"/>
      <c r="E836" s="4"/>
      <c r="F836" s="4"/>
      <c r="G836" s="4"/>
      <c r="H836" s="4"/>
      <c r="I836" s="4"/>
      <c r="J836" s="4"/>
      <c r="K836" s="4"/>
      <c r="L836" s="4"/>
      <c r="M836" s="4"/>
      <c r="N836" s="4"/>
      <c r="O836" s="4"/>
      <c r="P836" s="4"/>
      <c r="T836" s="4"/>
      <c r="U836" s="4"/>
      <c r="V836" s="4"/>
      <c r="W836" s="4"/>
      <c r="X836" s="4"/>
      <c r="Y836" s="4"/>
      <c r="Z836" s="4"/>
      <c r="AA836" s="4"/>
      <c r="AB836" s="4"/>
      <c r="AC836" s="4"/>
      <c r="AD836" s="4"/>
    </row>
    <row r="837" ht="13.5" customHeight="1" spans="1:30" x14ac:dyDescent="0.25">
      <c r="A837" s="4"/>
      <c r="B837" s="4"/>
      <c r="E837" s="4"/>
      <c r="F837" s="4"/>
      <c r="G837" s="4"/>
      <c r="H837" s="4"/>
      <c r="I837" s="4"/>
      <c r="J837" s="4"/>
      <c r="K837" s="4"/>
      <c r="L837" s="4"/>
      <c r="M837" s="4"/>
      <c r="N837" s="4"/>
      <c r="O837" s="4"/>
      <c r="P837" s="4"/>
      <c r="T837" s="4"/>
      <c r="U837" s="4"/>
      <c r="V837" s="4"/>
      <c r="W837" s="4"/>
      <c r="X837" s="4"/>
      <c r="Y837" s="4"/>
      <c r="Z837" s="4"/>
      <c r="AA837" s="4"/>
      <c r="AB837" s="4"/>
      <c r="AC837" s="4"/>
      <c r="AD837" s="4"/>
    </row>
    <row r="838" ht="13.5" customHeight="1" spans="1:30" x14ac:dyDescent="0.25">
      <c r="A838" s="4"/>
      <c r="B838" s="4"/>
      <c r="E838" s="4"/>
      <c r="F838" s="4"/>
      <c r="G838" s="4"/>
      <c r="H838" s="4"/>
      <c r="I838" s="4"/>
      <c r="J838" s="4"/>
      <c r="K838" s="4"/>
      <c r="L838" s="4"/>
      <c r="M838" s="4"/>
      <c r="N838" s="4"/>
      <c r="O838" s="4"/>
      <c r="P838" s="4"/>
      <c r="T838" s="4"/>
      <c r="U838" s="4"/>
      <c r="V838" s="4"/>
      <c r="W838" s="4"/>
      <c r="X838" s="4"/>
      <c r="Y838" s="4"/>
      <c r="Z838" s="4"/>
      <c r="AA838" s="4"/>
      <c r="AB838" s="4"/>
      <c r="AC838" s="4"/>
      <c r="AD838" s="4"/>
    </row>
    <row r="839" ht="13.5" customHeight="1" spans="1:30" x14ac:dyDescent="0.25">
      <c r="A839" s="4"/>
      <c r="B839" s="4"/>
      <c r="E839" s="4"/>
      <c r="F839" s="4"/>
      <c r="G839" s="4"/>
      <c r="H839" s="4"/>
      <c r="I839" s="4"/>
      <c r="J839" s="4"/>
      <c r="K839" s="4"/>
      <c r="L839" s="4"/>
      <c r="M839" s="4"/>
      <c r="N839" s="4"/>
      <c r="O839" s="4"/>
      <c r="P839" s="4"/>
      <c r="T839" s="4"/>
      <c r="U839" s="4"/>
      <c r="V839" s="4"/>
      <c r="W839" s="4"/>
      <c r="X839" s="4"/>
      <c r="Y839" s="4"/>
      <c r="Z839" s="4"/>
      <c r="AA839" s="4"/>
      <c r="AB839" s="4"/>
      <c r="AC839" s="4"/>
      <c r="AD839" s="4"/>
    </row>
    <row r="840" ht="13.5" customHeight="1" spans="1:30" x14ac:dyDescent="0.25">
      <c r="A840" s="4"/>
      <c r="B840" s="4"/>
      <c r="E840" s="4"/>
      <c r="F840" s="4"/>
      <c r="G840" s="4"/>
      <c r="H840" s="4"/>
      <c r="I840" s="4"/>
      <c r="J840" s="4"/>
      <c r="K840" s="4"/>
      <c r="L840" s="4"/>
      <c r="M840" s="4"/>
      <c r="N840" s="4"/>
      <c r="O840" s="4"/>
      <c r="P840" s="4"/>
      <c r="T840" s="4"/>
      <c r="U840" s="4"/>
      <c r="V840" s="4"/>
      <c r="W840" s="4"/>
      <c r="X840" s="4"/>
      <c r="Y840" s="4"/>
      <c r="Z840" s="4"/>
      <c r="AA840" s="4"/>
      <c r="AB840" s="4"/>
      <c r="AC840" s="4"/>
      <c r="AD840" s="4"/>
    </row>
    <row r="841" ht="13.5" customHeight="1" spans="1:30" x14ac:dyDescent="0.25">
      <c r="A841" s="4"/>
      <c r="B841" s="4"/>
      <c r="E841" s="4"/>
      <c r="F841" s="4"/>
      <c r="G841" s="4"/>
      <c r="H841" s="4"/>
      <c r="I841" s="4"/>
      <c r="J841" s="4"/>
      <c r="K841" s="4"/>
      <c r="L841" s="4"/>
      <c r="M841" s="4"/>
      <c r="N841" s="4"/>
      <c r="O841" s="4"/>
      <c r="P841" s="4"/>
      <c r="T841" s="4"/>
      <c r="U841" s="4"/>
      <c r="V841" s="4"/>
      <c r="W841" s="4"/>
      <c r="X841" s="4"/>
      <c r="Y841" s="4"/>
      <c r="Z841" s="4"/>
      <c r="AA841" s="4"/>
      <c r="AB841" s="4"/>
      <c r="AC841" s="4"/>
      <c r="AD841" s="4"/>
    </row>
    <row r="842" ht="13.5" customHeight="1" spans="1:30" x14ac:dyDescent="0.25">
      <c r="A842" s="4"/>
      <c r="B842" s="4"/>
      <c r="E842" s="4"/>
      <c r="F842" s="4"/>
      <c r="G842" s="4"/>
      <c r="H842" s="4"/>
      <c r="I842" s="4"/>
      <c r="J842" s="4"/>
      <c r="K842" s="4"/>
      <c r="L842" s="4"/>
      <c r="M842" s="4"/>
      <c r="N842" s="4"/>
      <c r="O842" s="4"/>
      <c r="P842" s="4"/>
      <c r="T842" s="4"/>
      <c r="U842" s="4"/>
      <c r="V842" s="4"/>
      <c r="W842" s="4"/>
      <c r="X842" s="4"/>
      <c r="Y842" s="4"/>
      <c r="Z842" s="4"/>
      <c r="AA842" s="4"/>
      <c r="AB842" s="4"/>
      <c r="AC842" s="4"/>
      <c r="AD842" s="4"/>
    </row>
    <row r="843" ht="13.5" customHeight="1" spans="1:30" x14ac:dyDescent="0.25">
      <c r="A843" s="4"/>
      <c r="B843" s="4"/>
      <c r="E843" s="4"/>
      <c r="F843" s="4"/>
      <c r="G843" s="4"/>
      <c r="H843" s="4"/>
      <c r="I843" s="4"/>
      <c r="J843" s="4"/>
      <c r="K843" s="4"/>
      <c r="L843" s="4"/>
      <c r="M843" s="4"/>
      <c r="N843" s="4"/>
      <c r="O843" s="4"/>
      <c r="P843" s="4"/>
      <c r="T843" s="4"/>
      <c r="U843" s="4"/>
      <c r="V843" s="4"/>
      <c r="W843" s="4"/>
      <c r="X843" s="4"/>
      <c r="Y843" s="4"/>
      <c r="Z843" s="4"/>
      <c r="AA843" s="4"/>
      <c r="AB843" s="4"/>
      <c r="AC843" s="4"/>
      <c r="AD843" s="4"/>
    </row>
    <row r="844" ht="13.5" customHeight="1" spans="1:30" x14ac:dyDescent="0.25">
      <c r="A844" s="4"/>
      <c r="B844" s="4"/>
      <c r="E844" s="4"/>
      <c r="F844" s="4"/>
      <c r="G844" s="4"/>
      <c r="H844" s="4"/>
      <c r="I844" s="4"/>
      <c r="J844" s="4"/>
      <c r="K844" s="4"/>
      <c r="L844" s="4"/>
      <c r="M844" s="4"/>
      <c r="N844" s="4"/>
      <c r="O844" s="4"/>
      <c r="P844" s="4"/>
      <c r="T844" s="4"/>
      <c r="U844" s="4"/>
      <c r="V844" s="4"/>
      <c r="W844" s="4"/>
      <c r="X844" s="4"/>
      <c r="Y844" s="4"/>
      <c r="Z844" s="4"/>
      <c r="AA844" s="4"/>
      <c r="AB844" s="4"/>
      <c r="AC844" s="4"/>
      <c r="AD844" s="4"/>
    </row>
    <row r="845" ht="13.5" customHeight="1" spans="1:30" x14ac:dyDescent="0.25">
      <c r="A845" s="4"/>
      <c r="B845" s="4"/>
      <c r="E845" s="4"/>
      <c r="F845" s="4"/>
      <c r="G845" s="4"/>
      <c r="H845" s="4"/>
      <c r="I845" s="4"/>
      <c r="J845" s="4"/>
      <c r="K845" s="4"/>
      <c r="L845" s="4"/>
      <c r="M845" s="4"/>
      <c r="N845" s="4"/>
      <c r="O845" s="4"/>
      <c r="P845" s="4"/>
      <c r="T845" s="4"/>
      <c r="U845" s="4"/>
      <c r="V845" s="4"/>
      <c r="W845" s="4"/>
      <c r="X845" s="4"/>
      <c r="Y845" s="4"/>
      <c r="Z845" s="4"/>
      <c r="AA845" s="4"/>
      <c r="AB845" s="4"/>
      <c r="AC845" s="4"/>
      <c r="AD845" s="4"/>
    </row>
    <row r="846" ht="13.5" customHeight="1" spans="1:30" x14ac:dyDescent="0.25">
      <c r="A846" s="4"/>
      <c r="B846" s="4"/>
      <c r="E846" s="4"/>
      <c r="F846" s="4"/>
      <c r="G846" s="4"/>
      <c r="H846" s="4"/>
      <c r="I846" s="4"/>
      <c r="J846" s="4"/>
      <c r="K846" s="4"/>
      <c r="L846" s="4"/>
      <c r="M846" s="4"/>
      <c r="N846" s="4"/>
      <c r="O846" s="4"/>
      <c r="P846" s="4"/>
      <c r="T846" s="4"/>
      <c r="U846" s="4"/>
      <c r="V846" s="4"/>
      <c r="W846" s="4"/>
      <c r="X846" s="4"/>
      <c r="Y846" s="4"/>
      <c r="Z846" s="4"/>
      <c r="AA846" s="4"/>
      <c r="AB846" s="4"/>
      <c r="AC846" s="4"/>
      <c r="AD846" s="4"/>
    </row>
    <row r="847" ht="13.5" customHeight="1" spans="1:30" x14ac:dyDescent="0.25">
      <c r="A847" s="4"/>
      <c r="B847" s="4"/>
      <c r="E847" s="4"/>
      <c r="F847" s="4"/>
      <c r="G847" s="4"/>
      <c r="H847" s="4"/>
      <c r="I847" s="4"/>
      <c r="J847" s="4"/>
      <c r="K847" s="4"/>
      <c r="L847" s="4"/>
      <c r="M847" s="4"/>
      <c r="N847" s="4"/>
      <c r="O847" s="4"/>
      <c r="P847" s="4"/>
      <c r="T847" s="4"/>
      <c r="U847" s="4"/>
      <c r="V847" s="4"/>
      <c r="W847" s="4"/>
      <c r="X847" s="4"/>
      <c r="Y847" s="4"/>
      <c r="Z847" s="4"/>
      <c r="AA847" s="4"/>
      <c r="AB847" s="4"/>
      <c r="AC847" s="4"/>
      <c r="AD847" s="4"/>
    </row>
    <row r="848" ht="13.5" customHeight="1" spans="1:30" x14ac:dyDescent="0.25">
      <c r="A848" s="4"/>
      <c r="B848" s="4"/>
      <c r="E848" s="4"/>
      <c r="F848" s="4"/>
      <c r="G848" s="4"/>
      <c r="H848" s="4"/>
      <c r="I848" s="4"/>
      <c r="J848" s="4"/>
      <c r="K848" s="4"/>
      <c r="L848" s="4"/>
      <c r="M848" s="4"/>
      <c r="N848" s="4"/>
      <c r="O848" s="4"/>
      <c r="P848" s="4"/>
      <c r="T848" s="4"/>
      <c r="U848" s="4"/>
      <c r="V848" s="4"/>
      <c r="W848" s="4"/>
      <c r="X848" s="4"/>
      <c r="Y848" s="4"/>
      <c r="Z848" s="4"/>
      <c r="AA848" s="4"/>
      <c r="AB848" s="4"/>
      <c r="AC848" s="4"/>
      <c r="AD848" s="4"/>
    </row>
    <row r="849" ht="13.5" customHeight="1" spans="1:30" x14ac:dyDescent="0.25">
      <c r="A849" s="4"/>
      <c r="B849" s="4"/>
      <c r="E849" s="4"/>
      <c r="F849" s="4"/>
      <c r="G849" s="4"/>
      <c r="H849" s="4"/>
      <c r="I849" s="4"/>
      <c r="J849" s="4"/>
      <c r="K849" s="4"/>
      <c r="L849" s="4"/>
      <c r="M849" s="4"/>
      <c r="N849" s="4"/>
      <c r="O849" s="4"/>
      <c r="P849" s="4"/>
      <c r="T849" s="4"/>
      <c r="U849" s="4"/>
      <c r="V849" s="4"/>
      <c r="W849" s="4"/>
      <c r="X849" s="4"/>
      <c r="Y849" s="4"/>
      <c r="Z849" s="4"/>
      <c r="AA849" s="4"/>
      <c r="AB849" s="4"/>
      <c r="AC849" s="4"/>
      <c r="AD849" s="4"/>
    </row>
    <row r="850" ht="13.5" customHeight="1" spans="1:30" x14ac:dyDescent="0.25">
      <c r="A850" s="4"/>
      <c r="B850" s="4"/>
      <c r="E850" s="4"/>
      <c r="F850" s="4"/>
      <c r="G850" s="4"/>
      <c r="H850" s="4"/>
      <c r="I850" s="4"/>
      <c r="J850" s="4"/>
      <c r="K850" s="4"/>
      <c r="L850" s="4"/>
      <c r="M850" s="4"/>
      <c r="N850" s="4"/>
      <c r="O850" s="4"/>
      <c r="P850" s="4"/>
      <c r="T850" s="4"/>
      <c r="U850" s="4"/>
      <c r="V850" s="4"/>
      <c r="W850" s="4"/>
      <c r="X850" s="4"/>
      <c r="Y850" s="4"/>
      <c r="Z850" s="4"/>
      <c r="AA850" s="4"/>
      <c r="AB850" s="4"/>
      <c r="AC850" s="4"/>
      <c r="AD850" s="4"/>
    </row>
    <row r="851" ht="13.5" customHeight="1" spans="1:30" x14ac:dyDescent="0.25">
      <c r="A851" s="4"/>
      <c r="B851" s="4"/>
      <c r="E851" s="4"/>
      <c r="F851" s="4"/>
      <c r="G851" s="4"/>
      <c r="H851" s="4"/>
      <c r="I851" s="4"/>
      <c r="J851" s="4"/>
      <c r="K851" s="4"/>
      <c r="L851" s="4"/>
      <c r="M851" s="4"/>
      <c r="N851" s="4"/>
      <c r="O851" s="4"/>
      <c r="P851" s="4"/>
      <c r="T851" s="4"/>
      <c r="U851" s="4"/>
      <c r="V851" s="4"/>
      <c r="W851" s="4"/>
      <c r="X851" s="4"/>
      <c r="Y851" s="4"/>
      <c r="Z851" s="4"/>
      <c r="AA851" s="4"/>
      <c r="AB851" s="4"/>
      <c r="AC851" s="4"/>
      <c r="AD851" s="4"/>
    </row>
    <row r="852" ht="13.5" customHeight="1" spans="1:30" x14ac:dyDescent="0.25">
      <c r="A852" s="4"/>
      <c r="B852" s="4"/>
      <c r="E852" s="4"/>
      <c r="F852" s="4"/>
      <c r="G852" s="4"/>
      <c r="H852" s="4"/>
      <c r="I852" s="4"/>
      <c r="J852" s="4"/>
      <c r="K852" s="4"/>
      <c r="L852" s="4"/>
      <c r="M852" s="4"/>
      <c r="N852" s="4"/>
      <c r="O852" s="4"/>
      <c r="P852" s="4"/>
      <c r="T852" s="4"/>
      <c r="U852" s="4"/>
      <c r="V852" s="4"/>
      <c r="W852" s="4"/>
      <c r="X852" s="4"/>
      <c r="Y852" s="4"/>
      <c r="Z852" s="4"/>
      <c r="AA852" s="4"/>
      <c r="AB852" s="4"/>
      <c r="AC852" s="4"/>
      <c r="AD852" s="4"/>
    </row>
    <row r="853" ht="13.5" customHeight="1" spans="1:30" x14ac:dyDescent="0.25">
      <c r="A853" s="4"/>
      <c r="B853" s="4"/>
      <c r="E853" s="4"/>
      <c r="F853" s="4"/>
      <c r="G853" s="4"/>
      <c r="H853" s="4"/>
      <c r="I853" s="4"/>
      <c r="J853" s="4"/>
      <c r="K853" s="4"/>
      <c r="L853" s="4"/>
      <c r="M853" s="4"/>
      <c r="N853" s="4"/>
      <c r="O853" s="4"/>
      <c r="P853" s="4"/>
      <c r="T853" s="4"/>
      <c r="U853" s="4"/>
      <c r="V853" s="4"/>
      <c r="W853" s="4"/>
      <c r="X853" s="4"/>
      <c r="Y853" s="4"/>
      <c r="Z853" s="4"/>
      <c r="AA853" s="4"/>
      <c r="AB853" s="4"/>
      <c r="AC853" s="4"/>
      <c r="AD853" s="4"/>
    </row>
    <row r="854" ht="13.5" customHeight="1" spans="1:30" x14ac:dyDescent="0.25">
      <c r="A854" s="4"/>
      <c r="B854" s="4"/>
      <c r="E854" s="4"/>
      <c r="F854" s="4"/>
      <c r="G854" s="4"/>
      <c r="H854" s="4"/>
      <c r="I854" s="4"/>
      <c r="J854" s="4"/>
      <c r="K854" s="4"/>
      <c r="L854" s="4"/>
      <c r="M854" s="4"/>
      <c r="N854" s="4"/>
      <c r="O854" s="4"/>
      <c r="P854" s="4"/>
      <c r="T854" s="4"/>
      <c r="U854" s="4"/>
      <c r="V854" s="4"/>
      <c r="W854" s="4"/>
      <c r="X854" s="4"/>
      <c r="Y854" s="4"/>
      <c r="Z854" s="4"/>
      <c r="AA854" s="4"/>
      <c r="AB854" s="4"/>
      <c r="AC854" s="4"/>
      <c r="AD854" s="4"/>
    </row>
    <row r="855" ht="13.5" customHeight="1" spans="1:30" x14ac:dyDescent="0.25">
      <c r="A855" s="4"/>
      <c r="B855" s="4"/>
      <c r="E855" s="4"/>
      <c r="F855" s="4"/>
      <c r="G855" s="4"/>
      <c r="H855" s="4"/>
      <c r="I855" s="4"/>
      <c r="J855" s="4"/>
      <c r="K855" s="4"/>
      <c r="L855" s="4"/>
      <c r="M855" s="4"/>
      <c r="N855" s="4"/>
      <c r="O855" s="4"/>
      <c r="P855" s="4"/>
      <c r="T855" s="4"/>
      <c r="U855" s="4"/>
      <c r="V855" s="4"/>
      <c r="W855" s="4"/>
      <c r="X855" s="4"/>
      <c r="Y855" s="4"/>
      <c r="Z855" s="4"/>
      <c r="AA855" s="4"/>
      <c r="AB855" s="4"/>
      <c r="AC855" s="4"/>
      <c r="AD855" s="4"/>
    </row>
    <row r="856" ht="13.5" customHeight="1" spans="1:30" x14ac:dyDescent="0.25">
      <c r="A856" s="4"/>
      <c r="B856" s="4"/>
      <c r="E856" s="4"/>
      <c r="F856" s="4"/>
      <c r="G856" s="4"/>
      <c r="H856" s="4"/>
      <c r="I856" s="4"/>
      <c r="J856" s="4"/>
      <c r="K856" s="4"/>
      <c r="L856" s="4"/>
      <c r="M856" s="4"/>
      <c r="N856" s="4"/>
      <c r="O856" s="4"/>
      <c r="P856" s="4"/>
      <c r="T856" s="4"/>
      <c r="U856" s="4"/>
      <c r="V856" s="4"/>
      <c r="W856" s="4"/>
      <c r="X856" s="4"/>
      <c r="Y856" s="4"/>
      <c r="Z856" s="4"/>
      <c r="AA856" s="4"/>
      <c r="AB856" s="4"/>
      <c r="AC856" s="4"/>
      <c r="AD856" s="4"/>
    </row>
    <row r="857" ht="13.5" customHeight="1" spans="1:30" x14ac:dyDescent="0.25">
      <c r="A857" s="4"/>
      <c r="B857" s="4"/>
      <c r="E857" s="4"/>
      <c r="F857" s="4"/>
      <c r="G857" s="4"/>
      <c r="H857" s="4"/>
      <c r="I857" s="4"/>
      <c r="J857" s="4"/>
      <c r="K857" s="4"/>
      <c r="L857" s="4"/>
      <c r="M857" s="4"/>
      <c r="N857" s="4"/>
      <c r="O857" s="4"/>
      <c r="P857" s="4"/>
      <c r="T857" s="4"/>
      <c r="U857" s="4"/>
      <c r="V857" s="4"/>
      <c r="W857" s="4"/>
      <c r="X857" s="4"/>
      <c r="Y857" s="4"/>
      <c r="Z857" s="4"/>
      <c r="AA857" s="4"/>
      <c r="AB857" s="4"/>
      <c r="AC857" s="4"/>
      <c r="AD857" s="4"/>
    </row>
    <row r="858" ht="13.5" customHeight="1" spans="1:30" x14ac:dyDescent="0.25">
      <c r="A858" s="4"/>
      <c r="B858" s="4"/>
      <c r="E858" s="4"/>
      <c r="F858" s="4"/>
      <c r="G858" s="4"/>
      <c r="H858" s="4"/>
      <c r="I858" s="4"/>
      <c r="J858" s="4"/>
      <c r="K858" s="4"/>
      <c r="L858" s="4"/>
      <c r="M858" s="4"/>
      <c r="N858" s="4"/>
      <c r="O858" s="4"/>
      <c r="P858" s="4"/>
      <c r="T858" s="4"/>
      <c r="U858" s="4"/>
      <c r="V858" s="4"/>
      <c r="W858" s="4"/>
      <c r="X858" s="4"/>
      <c r="Y858" s="4"/>
      <c r="Z858" s="4"/>
      <c r="AA858" s="4"/>
      <c r="AB858" s="4"/>
      <c r="AC858" s="4"/>
      <c r="AD858" s="4"/>
    </row>
    <row r="859" ht="13.5" customHeight="1" spans="1:30" x14ac:dyDescent="0.25">
      <c r="A859" s="4"/>
      <c r="B859" s="4"/>
      <c r="E859" s="4"/>
      <c r="F859" s="4"/>
      <c r="G859" s="4"/>
      <c r="H859" s="4"/>
      <c r="I859" s="4"/>
      <c r="J859" s="4"/>
      <c r="K859" s="4"/>
      <c r="L859" s="4"/>
      <c r="M859" s="4"/>
      <c r="N859" s="4"/>
      <c r="O859" s="4"/>
      <c r="P859" s="4"/>
      <c r="T859" s="4"/>
      <c r="U859" s="4"/>
      <c r="V859" s="4"/>
      <c r="W859" s="4"/>
      <c r="X859" s="4"/>
      <c r="Y859" s="4"/>
      <c r="Z859" s="4"/>
      <c r="AA859" s="4"/>
      <c r="AB859" s="4"/>
      <c r="AC859" s="4"/>
      <c r="AD859" s="4"/>
    </row>
    <row r="860" ht="13.5" customHeight="1" spans="1:30" x14ac:dyDescent="0.25">
      <c r="A860" s="4"/>
      <c r="B860" s="4"/>
      <c r="E860" s="4"/>
      <c r="F860" s="4"/>
      <c r="G860" s="4"/>
      <c r="H860" s="4"/>
      <c r="I860" s="4"/>
      <c r="J860" s="4"/>
      <c r="K860" s="4"/>
      <c r="L860" s="4"/>
      <c r="M860" s="4"/>
      <c r="N860" s="4"/>
      <c r="O860" s="4"/>
      <c r="P860" s="4"/>
      <c r="T860" s="4"/>
      <c r="U860" s="4"/>
      <c r="V860" s="4"/>
      <c r="W860" s="4"/>
      <c r="X860" s="4"/>
      <c r="Y860" s="4"/>
      <c r="Z860" s="4"/>
      <c r="AA860" s="4"/>
      <c r="AB860" s="4"/>
      <c r="AC860" s="4"/>
      <c r="AD860" s="4"/>
    </row>
    <row r="861" ht="13.5" customHeight="1" spans="1:30" x14ac:dyDescent="0.25">
      <c r="A861" s="4"/>
      <c r="B861" s="4"/>
      <c r="E861" s="4"/>
      <c r="F861" s="4"/>
      <c r="G861" s="4"/>
      <c r="H861" s="4"/>
      <c r="I861" s="4"/>
      <c r="J861" s="4"/>
      <c r="K861" s="4"/>
      <c r="L861" s="4"/>
      <c r="M861" s="4"/>
      <c r="N861" s="4"/>
      <c r="O861" s="4"/>
      <c r="P861" s="4"/>
      <c r="T861" s="4"/>
      <c r="U861" s="4"/>
      <c r="V861" s="4"/>
      <c r="W861" s="4"/>
      <c r="X861" s="4"/>
      <c r="Y861" s="4"/>
      <c r="Z861" s="4"/>
      <c r="AA861" s="4"/>
      <c r="AB861" s="4"/>
      <c r="AC861" s="4"/>
      <c r="AD861" s="4"/>
    </row>
    <row r="862" ht="13.5" customHeight="1" spans="1:30" x14ac:dyDescent="0.25">
      <c r="A862" s="4"/>
      <c r="B862" s="4"/>
      <c r="E862" s="4"/>
      <c r="F862" s="4"/>
      <c r="G862" s="4"/>
      <c r="H862" s="4"/>
      <c r="I862" s="4"/>
      <c r="J862" s="4"/>
      <c r="K862" s="4"/>
      <c r="L862" s="4"/>
      <c r="M862" s="4"/>
      <c r="N862" s="4"/>
      <c r="O862" s="4"/>
      <c r="P862" s="4"/>
      <c r="T862" s="4"/>
      <c r="U862" s="4"/>
      <c r="V862" s="4"/>
      <c r="W862" s="4"/>
      <c r="X862" s="4"/>
      <c r="Y862" s="4"/>
      <c r="Z862" s="4"/>
      <c r="AA862" s="4"/>
      <c r="AB862" s="4"/>
      <c r="AC862" s="4"/>
      <c r="AD862" s="4"/>
    </row>
    <row r="863" ht="13.5" customHeight="1" spans="1:30" x14ac:dyDescent="0.25">
      <c r="A863" s="4"/>
      <c r="B863" s="4"/>
      <c r="E863" s="4"/>
      <c r="F863" s="4"/>
      <c r="G863" s="4"/>
      <c r="H863" s="4"/>
      <c r="I863" s="4"/>
      <c r="J863" s="4"/>
      <c r="K863" s="4"/>
      <c r="L863" s="4"/>
      <c r="M863" s="4"/>
      <c r="N863" s="4"/>
      <c r="O863" s="4"/>
      <c r="P863" s="4"/>
      <c r="T863" s="4"/>
      <c r="U863" s="4"/>
      <c r="V863" s="4"/>
      <c r="W863" s="4"/>
      <c r="X863" s="4"/>
      <c r="Y863" s="4"/>
      <c r="Z863" s="4"/>
      <c r="AA863" s="4"/>
      <c r="AB863" s="4"/>
      <c r="AC863" s="4"/>
      <c r="AD863" s="4"/>
    </row>
    <row r="864" ht="13.5" customHeight="1" spans="1:30" x14ac:dyDescent="0.25">
      <c r="A864" s="4"/>
      <c r="B864" s="4"/>
      <c r="E864" s="4"/>
      <c r="F864" s="4"/>
      <c r="G864" s="4"/>
      <c r="H864" s="4"/>
      <c r="I864" s="4"/>
      <c r="J864" s="4"/>
      <c r="K864" s="4"/>
      <c r="L864" s="4"/>
      <c r="M864" s="4"/>
      <c r="N864" s="4"/>
      <c r="O864" s="4"/>
      <c r="P864" s="4"/>
      <c r="T864" s="4"/>
      <c r="U864" s="4"/>
      <c r="V864" s="4"/>
      <c r="W864" s="4"/>
      <c r="X864" s="4"/>
      <c r="Y864" s="4"/>
      <c r="Z864" s="4"/>
      <c r="AA864" s="4"/>
      <c r="AB864" s="4"/>
      <c r="AC864" s="4"/>
      <c r="AD864" s="4"/>
    </row>
    <row r="865" ht="13.5" customHeight="1" spans="1:30" x14ac:dyDescent="0.25">
      <c r="A865" s="4"/>
      <c r="B865" s="4"/>
      <c r="E865" s="4"/>
      <c r="F865" s="4"/>
      <c r="G865" s="4"/>
      <c r="H865" s="4"/>
      <c r="I865" s="4"/>
      <c r="J865" s="4"/>
      <c r="K865" s="4"/>
      <c r="L865" s="4"/>
      <c r="M865" s="4"/>
      <c r="N865" s="4"/>
      <c r="O865" s="4"/>
      <c r="P865" s="4"/>
      <c r="T865" s="4"/>
      <c r="U865" s="4"/>
      <c r="V865" s="4"/>
      <c r="W865" s="4"/>
      <c r="X865" s="4"/>
      <c r="Y865" s="4"/>
      <c r="Z865" s="4"/>
      <c r="AA865" s="4"/>
      <c r="AB865" s="4"/>
      <c r="AC865" s="4"/>
      <c r="AD865" s="4"/>
    </row>
    <row r="866" ht="13.5" customHeight="1" spans="1:30" x14ac:dyDescent="0.25">
      <c r="A866" s="4"/>
      <c r="B866" s="4"/>
      <c r="E866" s="4"/>
      <c r="F866" s="4"/>
      <c r="G866" s="4"/>
      <c r="H866" s="4"/>
      <c r="I866" s="4"/>
      <c r="J866" s="4"/>
      <c r="K866" s="4"/>
      <c r="L866" s="4"/>
      <c r="M866" s="4"/>
      <c r="N866" s="4"/>
      <c r="O866" s="4"/>
      <c r="P866" s="4"/>
      <c r="T866" s="4"/>
      <c r="U866" s="4"/>
      <c r="V866" s="4"/>
      <c r="W866" s="4"/>
      <c r="X866" s="4"/>
      <c r="Y866" s="4"/>
      <c r="Z866" s="4"/>
      <c r="AA866" s="4"/>
      <c r="AB866" s="4"/>
      <c r="AC866" s="4"/>
      <c r="AD866" s="4"/>
    </row>
    <row r="867" ht="13.5" customHeight="1" spans="1:30" x14ac:dyDescent="0.25">
      <c r="A867" s="4"/>
      <c r="B867" s="4"/>
      <c r="E867" s="4"/>
      <c r="F867" s="4"/>
      <c r="G867" s="4"/>
      <c r="H867" s="4"/>
      <c r="I867" s="4"/>
      <c r="J867" s="4"/>
      <c r="K867" s="4"/>
      <c r="L867" s="4"/>
      <c r="M867" s="4"/>
      <c r="N867" s="4"/>
      <c r="O867" s="4"/>
      <c r="P867" s="4"/>
      <c r="T867" s="4"/>
      <c r="U867" s="4"/>
      <c r="V867" s="4"/>
      <c r="W867" s="4"/>
      <c r="X867" s="4"/>
      <c r="Y867" s="4"/>
      <c r="Z867" s="4"/>
      <c r="AA867" s="4"/>
      <c r="AB867" s="4"/>
      <c r="AC867" s="4"/>
      <c r="AD867" s="4"/>
    </row>
    <row r="868" ht="13.5" customHeight="1" spans="1:30" x14ac:dyDescent="0.25">
      <c r="A868" s="4"/>
      <c r="B868" s="4"/>
      <c r="E868" s="4"/>
      <c r="F868" s="4"/>
      <c r="G868" s="4"/>
      <c r="H868" s="4"/>
      <c r="I868" s="4"/>
      <c r="J868" s="4"/>
      <c r="K868" s="4"/>
      <c r="L868" s="4"/>
      <c r="M868" s="4"/>
      <c r="N868" s="4"/>
      <c r="O868" s="4"/>
      <c r="P868" s="4"/>
      <c r="T868" s="4"/>
      <c r="U868" s="4"/>
      <c r="V868" s="4"/>
      <c r="W868" s="4"/>
      <c r="X868" s="4"/>
      <c r="Y868" s="4"/>
      <c r="Z868" s="4"/>
      <c r="AA868" s="4"/>
      <c r="AB868" s="4"/>
      <c r="AC868" s="4"/>
      <c r="AD868" s="4"/>
    </row>
    <row r="869" ht="13.5" customHeight="1" spans="1:30" x14ac:dyDescent="0.25">
      <c r="A869" s="4"/>
      <c r="B869" s="4"/>
      <c r="E869" s="4"/>
      <c r="F869" s="4"/>
      <c r="G869" s="4"/>
      <c r="H869" s="4"/>
      <c r="I869" s="4"/>
      <c r="J869" s="4"/>
      <c r="K869" s="4"/>
      <c r="L869" s="4"/>
      <c r="M869" s="4"/>
      <c r="N869" s="4"/>
      <c r="O869" s="4"/>
      <c r="P869" s="4"/>
      <c r="T869" s="4"/>
      <c r="U869" s="4"/>
      <c r="V869" s="4"/>
      <c r="W869" s="4"/>
      <c r="X869" s="4"/>
      <c r="Y869" s="4"/>
      <c r="Z869" s="4"/>
      <c r="AA869" s="4"/>
      <c r="AB869" s="4"/>
      <c r="AC869" s="4"/>
      <c r="AD869" s="4"/>
    </row>
    <row r="870" ht="13.5" customHeight="1" spans="1:30" x14ac:dyDescent="0.25">
      <c r="A870" s="4"/>
      <c r="B870" s="4"/>
      <c r="E870" s="4"/>
      <c r="F870" s="4"/>
      <c r="G870" s="4"/>
      <c r="H870" s="4"/>
      <c r="I870" s="4"/>
      <c r="J870" s="4"/>
      <c r="K870" s="4"/>
      <c r="L870" s="4"/>
      <c r="M870" s="4"/>
      <c r="N870" s="4"/>
      <c r="O870" s="4"/>
      <c r="P870" s="4"/>
      <c r="T870" s="4"/>
      <c r="U870" s="4"/>
      <c r="V870" s="4"/>
      <c r="W870" s="4"/>
      <c r="X870" s="4"/>
      <c r="Y870" s="4"/>
      <c r="Z870" s="4"/>
      <c r="AA870" s="4"/>
      <c r="AB870" s="4"/>
      <c r="AC870" s="4"/>
      <c r="AD870" s="4"/>
    </row>
    <row r="871" ht="13.5" customHeight="1" spans="1:30" x14ac:dyDescent="0.25">
      <c r="A871" s="4"/>
      <c r="B871" s="4"/>
      <c r="E871" s="4"/>
      <c r="F871" s="4"/>
      <c r="G871" s="4"/>
      <c r="H871" s="4"/>
      <c r="I871" s="4"/>
      <c r="J871" s="4"/>
      <c r="K871" s="4"/>
      <c r="L871" s="4"/>
      <c r="M871" s="4"/>
      <c r="N871" s="4"/>
      <c r="O871" s="4"/>
      <c r="P871" s="4"/>
      <c r="T871" s="4"/>
      <c r="U871" s="4"/>
      <c r="V871" s="4"/>
      <c r="W871" s="4"/>
      <c r="X871" s="4"/>
      <c r="Y871" s="4"/>
      <c r="Z871" s="4"/>
      <c r="AA871" s="4"/>
      <c r="AB871" s="4"/>
      <c r="AC871" s="4"/>
      <c r="AD871" s="4"/>
    </row>
    <row r="872" ht="13.5" customHeight="1" spans="1:30" x14ac:dyDescent="0.25">
      <c r="A872" s="4"/>
      <c r="B872" s="4"/>
      <c r="E872" s="4"/>
      <c r="F872" s="4"/>
      <c r="G872" s="4"/>
      <c r="H872" s="4"/>
      <c r="I872" s="4"/>
      <c r="J872" s="4"/>
      <c r="K872" s="4"/>
      <c r="L872" s="4"/>
      <c r="M872" s="4"/>
      <c r="N872" s="4"/>
      <c r="O872" s="4"/>
      <c r="P872" s="4"/>
      <c r="T872" s="4"/>
      <c r="U872" s="4"/>
      <c r="V872" s="4"/>
      <c r="W872" s="4"/>
      <c r="X872" s="4"/>
      <c r="Y872" s="4"/>
      <c r="Z872" s="4"/>
      <c r="AA872" s="4"/>
      <c r="AB872" s="4"/>
      <c r="AC872" s="4"/>
      <c r="AD872" s="4"/>
    </row>
    <row r="873" ht="13.5" customHeight="1" spans="1:30" x14ac:dyDescent="0.25">
      <c r="A873" s="4"/>
      <c r="B873" s="4"/>
      <c r="E873" s="4"/>
      <c r="F873" s="4"/>
      <c r="G873" s="4"/>
      <c r="H873" s="4"/>
      <c r="I873" s="4"/>
      <c r="J873" s="4"/>
      <c r="K873" s="4"/>
      <c r="L873" s="4"/>
      <c r="M873" s="4"/>
      <c r="N873" s="4"/>
      <c r="O873" s="4"/>
      <c r="P873" s="4"/>
      <c r="T873" s="4"/>
      <c r="U873" s="4"/>
      <c r="V873" s="4"/>
      <c r="W873" s="4"/>
      <c r="X873" s="4"/>
      <c r="Y873" s="4"/>
      <c r="Z873" s="4"/>
      <c r="AA873" s="4"/>
      <c r="AB873" s="4"/>
      <c r="AC873" s="4"/>
      <c r="AD873" s="4"/>
    </row>
    <row r="874" ht="13.5" customHeight="1" spans="1:30" x14ac:dyDescent="0.25">
      <c r="A874" s="4"/>
      <c r="B874" s="4"/>
      <c r="E874" s="4"/>
      <c r="F874" s="4"/>
      <c r="G874" s="4"/>
      <c r="H874" s="4"/>
      <c r="I874" s="4"/>
      <c r="J874" s="4"/>
      <c r="K874" s="4"/>
      <c r="L874" s="4"/>
      <c r="M874" s="4"/>
      <c r="N874" s="4"/>
      <c r="O874" s="4"/>
      <c r="P874" s="4"/>
      <c r="T874" s="4"/>
      <c r="U874" s="4"/>
      <c r="V874" s="4"/>
      <c r="W874" s="4"/>
      <c r="X874" s="4"/>
      <c r="Y874" s="4"/>
      <c r="Z874" s="4"/>
      <c r="AA874" s="4"/>
      <c r="AB874" s="4"/>
      <c r="AC874" s="4"/>
      <c r="AD874" s="4"/>
    </row>
    <row r="875" ht="13.5" customHeight="1" spans="1:30" x14ac:dyDescent="0.25">
      <c r="A875" s="4"/>
      <c r="B875" s="4"/>
      <c r="E875" s="4"/>
      <c r="F875" s="4"/>
      <c r="G875" s="4"/>
      <c r="H875" s="4"/>
      <c r="I875" s="4"/>
      <c r="J875" s="4"/>
      <c r="K875" s="4"/>
      <c r="L875" s="4"/>
      <c r="M875" s="4"/>
      <c r="N875" s="4"/>
      <c r="O875" s="4"/>
      <c r="P875" s="4"/>
      <c r="T875" s="4"/>
      <c r="U875" s="4"/>
      <c r="V875" s="4"/>
      <c r="W875" s="4"/>
      <c r="X875" s="4"/>
      <c r="Y875" s="4"/>
      <c r="Z875" s="4"/>
      <c r="AA875" s="4"/>
      <c r="AB875" s="4"/>
      <c r="AC875" s="4"/>
      <c r="AD875" s="4"/>
    </row>
    <row r="876" ht="13.5" customHeight="1" spans="1:30" x14ac:dyDescent="0.25">
      <c r="A876" s="4"/>
      <c r="B876" s="4"/>
      <c r="E876" s="4"/>
      <c r="F876" s="4"/>
      <c r="G876" s="4"/>
      <c r="H876" s="4"/>
      <c r="I876" s="4"/>
      <c r="J876" s="4"/>
      <c r="K876" s="4"/>
      <c r="L876" s="4"/>
      <c r="M876" s="4"/>
      <c r="N876" s="4"/>
      <c r="O876" s="4"/>
      <c r="P876" s="4"/>
      <c r="T876" s="4"/>
      <c r="U876" s="4"/>
      <c r="V876" s="4"/>
      <c r="W876" s="4"/>
      <c r="X876" s="4"/>
      <c r="Y876" s="4"/>
      <c r="Z876" s="4"/>
      <c r="AA876" s="4"/>
      <c r="AB876" s="4"/>
      <c r="AC876" s="4"/>
      <c r="AD876" s="4"/>
    </row>
    <row r="877" ht="13.5" customHeight="1" spans="1:30" x14ac:dyDescent="0.25">
      <c r="A877" s="4"/>
      <c r="B877" s="4"/>
      <c r="E877" s="4"/>
      <c r="F877" s="4"/>
      <c r="G877" s="4"/>
      <c r="H877" s="4"/>
      <c r="I877" s="4"/>
      <c r="J877" s="4"/>
      <c r="K877" s="4"/>
      <c r="L877" s="4"/>
      <c r="M877" s="4"/>
      <c r="N877" s="4"/>
      <c r="O877" s="4"/>
      <c r="P877" s="4"/>
      <c r="T877" s="4"/>
      <c r="U877" s="4"/>
      <c r="V877" s="4"/>
      <c r="W877" s="4"/>
      <c r="X877" s="4"/>
      <c r="Y877" s="4"/>
      <c r="Z877" s="4"/>
      <c r="AA877" s="4"/>
      <c r="AB877" s="4"/>
      <c r="AC877" s="4"/>
      <c r="AD877" s="4"/>
    </row>
    <row r="878" ht="13.5" customHeight="1" spans="1:30" x14ac:dyDescent="0.25">
      <c r="A878" s="4"/>
      <c r="B878" s="4"/>
      <c r="E878" s="4"/>
      <c r="F878" s="4"/>
      <c r="G878" s="4"/>
      <c r="H878" s="4"/>
      <c r="I878" s="4"/>
      <c r="J878" s="4"/>
      <c r="K878" s="4"/>
      <c r="L878" s="4"/>
      <c r="M878" s="4"/>
      <c r="N878" s="4"/>
      <c r="O878" s="4"/>
      <c r="P878" s="4"/>
      <c r="T878" s="4"/>
      <c r="U878" s="4"/>
      <c r="V878" s="4"/>
      <c r="W878" s="4"/>
      <c r="X878" s="4"/>
      <c r="Y878" s="4"/>
      <c r="Z878" s="4"/>
      <c r="AA878" s="4"/>
      <c r="AB878" s="4"/>
      <c r="AC878" s="4"/>
      <c r="AD878" s="4"/>
    </row>
    <row r="879" ht="13.5" customHeight="1" spans="1:30" x14ac:dyDescent="0.25">
      <c r="A879" s="4"/>
      <c r="B879" s="4"/>
      <c r="E879" s="4"/>
      <c r="F879" s="4"/>
      <c r="G879" s="4"/>
      <c r="H879" s="4"/>
      <c r="I879" s="4"/>
      <c r="J879" s="4"/>
      <c r="K879" s="4"/>
      <c r="L879" s="4"/>
      <c r="M879" s="4"/>
      <c r="N879" s="4"/>
      <c r="O879" s="4"/>
      <c r="P879" s="4"/>
      <c r="T879" s="4"/>
      <c r="U879" s="4"/>
      <c r="V879" s="4"/>
      <c r="W879" s="4"/>
      <c r="X879" s="4"/>
      <c r="Y879" s="4"/>
      <c r="Z879" s="4"/>
      <c r="AA879" s="4"/>
      <c r="AB879" s="4"/>
      <c r="AC879" s="4"/>
      <c r="AD879" s="4"/>
    </row>
    <row r="880" ht="13.5" customHeight="1" spans="1:30" x14ac:dyDescent="0.25">
      <c r="A880" s="4"/>
      <c r="B880" s="4"/>
      <c r="E880" s="4"/>
      <c r="F880" s="4"/>
      <c r="G880" s="4"/>
      <c r="H880" s="4"/>
      <c r="I880" s="4"/>
      <c r="J880" s="4"/>
      <c r="K880" s="4"/>
      <c r="L880" s="4"/>
      <c r="M880" s="4"/>
      <c r="N880" s="4"/>
      <c r="O880" s="4"/>
      <c r="P880" s="4"/>
      <c r="T880" s="4"/>
      <c r="U880" s="4"/>
      <c r="V880" s="4"/>
      <c r="W880" s="4"/>
      <c r="X880" s="4"/>
      <c r="Y880" s="4"/>
      <c r="Z880" s="4"/>
      <c r="AA880" s="4"/>
      <c r="AB880" s="4"/>
      <c r="AC880" s="4"/>
      <c r="AD880" s="4"/>
    </row>
    <row r="881" ht="13.5" customHeight="1" spans="1:30" x14ac:dyDescent="0.25">
      <c r="A881" s="4"/>
      <c r="B881" s="4"/>
      <c r="E881" s="4"/>
      <c r="F881" s="4"/>
      <c r="G881" s="4"/>
      <c r="H881" s="4"/>
      <c r="I881" s="4"/>
      <c r="J881" s="4"/>
      <c r="K881" s="4"/>
      <c r="L881" s="4"/>
      <c r="M881" s="4"/>
      <c r="N881" s="4"/>
      <c r="O881" s="4"/>
      <c r="P881" s="4"/>
      <c r="T881" s="4"/>
      <c r="U881" s="4"/>
      <c r="V881" s="4"/>
      <c r="W881" s="4"/>
      <c r="X881" s="4"/>
      <c r="Y881" s="4"/>
      <c r="Z881" s="4"/>
      <c r="AA881" s="4"/>
      <c r="AB881" s="4"/>
      <c r="AC881" s="4"/>
      <c r="AD881" s="4"/>
    </row>
    <row r="882" ht="13.5" customHeight="1" spans="1:30" x14ac:dyDescent="0.25">
      <c r="A882" s="4"/>
      <c r="B882" s="4"/>
      <c r="E882" s="4"/>
      <c r="F882" s="4"/>
      <c r="G882" s="4"/>
      <c r="H882" s="4"/>
      <c r="I882" s="4"/>
      <c r="J882" s="4"/>
      <c r="K882" s="4"/>
      <c r="L882" s="4"/>
      <c r="M882" s="4"/>
      <c r="N882" s="4"/>
      <c r="O882" s="4"/>
      <c r="P882" s="4"/>
      <c r="T882" s="4"/>
      <c r="U882" s="4"/>
      <c r="V882" s="4"/>
      <c r="W882" s="4"/>
      <c r="X882" s="4"/>
      <c r="Y882" s="4"/>
      <c r="Z882" s="4"/>
      <c r="AA882" s="4"/>
      <c r="AB882" s="4"/>
      <c r="AC882" s="4"/>
      <c r="AD882" s="4"/>
    </row>
    <row r="883" ht="13.5" customHeight="1" spans="1:30" x14ac:dyDescent="0.25">
      <c r="A883" s="4"/>
      <c r="B883" s="4"/>
      <c r="E883" s="4"/>
      <c r="F883" s="4"/>
      <c r="G883" s="4"/>
      <c r="H883" s="4"/>
      <c r="I883" s="4"/>
      <c r="J883" s="4"/>
      <c r="K883" s="4"/>
      <c r="L883" s="4"/>
      <c r="M883" s="4"/>
      <c r="N883" s="4"/>
      <c r="O883" s="4"/>
      <c r="P883" s="4"/>
      <c r="T883" s="4"/>
      <c r="U883" s="4"/>
      <c r="V883" s="4"/>
      <c r="W883" s="4"/>
      <c r="X883" s="4"/>
      <c r="Y883" s="4"/>
      <c r="Z883" s="4"/>
      <c r="AA883" s="4"/>
      <c r="AB883" s="4"/>
      <c r="AC883" s="4"/>
      <c r="AD883" s="4"/>
    </row>
    <row r="884" ht="13.5" customHeight="1" spans="1:30" x14ac:dyDescent="0.25">
      <c r="A884" s="4"/>
      <c r="B884" s="4"/>
      <c r="E884" s="4"/>
      <c r="F884" s="4"/>
      <c r="G884" s="4"/>
      <c r="H884" s="4"/>
      <c r="I884" s="4"/>
      <c r="J884" s="4"/>
      <c r="K884" s="4"/>
      <c r="L884" s="4"/>
      <c r="M884" s="4"/>
      <c r="N884" s="4"/>
      <c r="O884" s="4"/>
      <c r="P884" s="4"/>
      <c r="T884" s="4"/>
      <c r="U884" s="4"/>
      <c r="V884" s="4"/>
      <c r="W884" s="4"/>
      <c r="X884" s="4"/>
      <c r="Y884" s="4"/>
      <c r="Z884" s="4"/>
      <c r="AA884" s="4"/>
      <c r="AB884" s="4"/>
      <c r="AC884" s="4"/>
      <c r="AD884" s="4"/>
    </row>
    <row r="885" ht="13.5" customHeight="1" spans="1:30" x14ac:dyDescent="0.25">
      <c r="A885" s="4"/>
      <c r="B885" s="4"/>
      <c r="E885" s="4"/>
      <c r="F885" s="4"/>
      <c r="G885" s="4"/>
      <c r="H885" s="4"/>
      <c r="I885" s="4"/>
      <c r="J885" s="4"/>
      <c r="K885" s="4"/>
      <c r="L885" s="4"/>
      <c r="M885" s="4"/>
      <c r="N885" s="4"/>
      <c r="O885" s="4"/>
      <c r="P885" s="4"/>
      <c r="T885" s="4"/>
      <c r="U885" s="4"/>
      <c r="V885" s="4"/>
      <c r="W885" s="4"/>
      <c r="X885" s="4"/>
      <c r="Y885" s="4"/>
      <c r="Z885" s="4"/>
      <c r="AA885" s="4"/>
      <c r="AB885" s="4"/>
      <c r="AC885" s="4"/>
      <c r="AD885" s="4"/>
    </row>
    <row r="886" ht="13.5" customHeight="1" spans="1:30" x14ac:dyDescent="0.25">
      <c r="A886" s="4"/>
      <c r="B886" s="4"/>
      <c r="E886" s="4"/>
      <c r="F886" s="4"/>
      <c r="G886" s="4"/>
      <c r="H886" s="4"/>
      <c r="I886" s="4"/>
      <c r="J886" s="4"/>
      <c r="K886" s="4"/>
      <c r="L886" s="4"/>
      <c r="M886" s="4"/>
      <c r="N886" s="4"/>
      <c r="O886" s="4"/>
      <c r="P886" s="4"/>
      <c r="T886" s="4"/>
      <c r="U886" s="4"/>
      <c r="V886" s="4"/>
      <c r="W886" s="4"/>
      <c r="X886" s="4"/>
      <c r="Y886" s="4"/>
      <c r="Z886" s="4"/>
      <c r="AA886" s="4"/>
      <c r="AB886" s="4"/>
      <c r="AC886" s="4"/>
      <c r="AD886" s="4"/>
    </row>
    <row r="887" ht="13.5" customHeight="1" spans="1:30" x14ac:dyDescent="0.25">
      <c r="A887" s="4"/>
      <c r="B887" s="4"/>
      <c r="E887" s="4"/>
      <c r="F887" s="4"/>
      <c r="G887" s="4"/>
      <c r="H887" s="4"/>
      <c r="I887" s="4"/>
      <c r="J887" s="4"/>
      <c r="K887" s="4"/>
      <c r="L887" s="4"/>
      <c r="M887" s="4"/>
      <c r="N887" s="4"/>
      <c r="O887" s="4"/>
      <c r="P887" s="4"/>
      <c r="T887" s="4"/>
      <c r="U887" s="4"/>
      <c r="V887" s="4"/>
      <c r="W887" s="4"/>
      <c r="X887" s="4"/>
      <c r="Y887" s="4"/>
      <c r="Z887" s="4"/>
      <c r="AA887" s="4"/>
      <c r="AB887" s="4"/>
      <c r="AC887" s="4"/>
      <c r="AD887" s="4"/>
    </row>
    <row r="888" ht="13.5" customHeight="1" spans="1:30" x14ac:dyDescent="0.25">
      <c r="A888" s="4"/>
      <c r="B888" s="4"/>
      <c r="E888" s="4"/>
      <c r="F888" s="4"/>
      <c r="G888" s="4"/>
      <c r="H888" s="4"/>
      <c r="I888" s="4"/>
      <c r="J888" s="4"/>
      <c r="K888" s="4"/>
      <c r="L888" s="4"/>
      <c r="M888" s="4"/>
      <c r="N888" s="4"/>
      <c r="O888" s="4"/>
      <c r="P888" s="4"/>
      <c r="T888" s="4"/>
      <c r="U888" s="4"/>
      <c r="V888" s="4"/>
      <c r="W888" s="4"/>
      <c r="X888" s="4"/>
      <c r="Y888" s="4"/>
      <c r="Z888" s="4"/>
      <c r="AA888" s="4"/>
      <c r="AB888" s="4"/>
      <c r="AC888" s="4"/>
      <c r="AD888" s="4"/>
    </row>
    <row r="889" ht="13.5" customHeight="1" spans="1:30" x14ac:dyDescent="0.25">
      <c r="A889" s="4"/>
      <c r="B889" s="4"/>
      <c r="E889" s="4"/>
      <c r="F889" s="4"/>
      <c r="G889" s="4"/>
      <c r="H889" s="4"/>
      <c r="I889" s="4"/>
      <c r="J889" s="4"/>
      <c r="K889" s="4"/>
      <c r="L889" s="4"/>
      <c r="M889" s="4"/>
      <c r="N889" s="4"/>
      <c r="O889" s="4"/>
      <c r="P889" s="4"/>
      <c r="T889" s="4"/>
      <c r="U889" s="4"/>
      <c r="V889" s="4"/>
      <c r="W889" s="4"/>
      <c r="X889" s="4"/>
      <c r="Y889" s="4"/>
      <c r="Z889" s="4"/>
      <c r="AA889" s="4"/>
      <c r="AB889" s="4"/>
      <c r="AC889" s="4"/>
      <c r="AD889" s="4"/>
    </row>
    <row r="890" ht="13.5" customHeight="1" spans="1:30" x14ac:dyDescent="0.25">
      <c r="A890" s="4"/>
      <c r="B890" s="4"/>
      <c r="E890" s="4"/>
      <c r="F890" s="4"/>
      <c r="G890" s="4"/>
      <c r="H890" s="4"/>
      <c r="I890" s="4"/>
      <c r="J890" s="4"/>
      <c r="K890" s="4"/>
      <c r="L890" s="4"/>
      <c r="M890" s="4"/>
      <c r="N890" s="4"/>
      <c r="O890" s="4"/>
      <c r="P890" s="4"/>
      <c r="T890" s="4"/>
      <c r="U890" s="4"/>
      <c r="V890" s="4"/>
      <c r="W890" s="4"/>
      <c r="X890" s="4"/>
      <c r="Y890" s="4"/>
      <c r="Z890" s="4"/>
      <c r="AA890" s="4"/>
      <c r="AB890" s="4"/>
      <c r="AC890" s="4"/>
      <c r="AD890" s="4"/>
    </row>
    <row r="891" ht="13.5" customHeight="1" spans="1:30" x14ac:dyDescent="0.25">
      <c r="A891" s="4"/>
      <c r="B891" s="4"/>
      <c r="E891" s="4"/>
      <c r="F891" s="4"/>
      <c r="G891" s="4"/>
      <c r="H891" s="4"/>
      <c r="I891" s="4"/>
      <c r="J891" s="4"/>
      <c r="K891" s="4"/>
      <c r="L891" s="4"/>
      <c r="M891" s="4"/>
      <c r="N891" s="4"/>
      <c r="O891" s="4"/>
      <c r="P891" s="4"/>
      <c r="T891" s="4"/>
      <c r="U891" s="4"/>
      <c r="V891" s="4"/>
      <c r="W891" s="4"/>
      <c r="X891" s="4"/>
      <c r="Y891" s="4"/>
      <c r="Z891" s="4"/>
      <c r="AA891" s="4"/>
      <c r="AB891" s="4"/>
      <c r="AC891" s="4"/>
      <c r="AD891" s="4"/>
    </row>
    <row r="892" ht="13.5" customHeight="1" spans="1:30" x14ac:dyDescent="0.25">
      <c r="A892" s="4"/>
      <c r="B892" s="4"/>
      <c r="E892" s="4"/>
      <c r="F892" s="4"/>
      <c r="G892" s="4"/>
      <c r="H892" s="4"/>
      <c r="I892" s="4"/>
      <c r="J892" s="4"/>
      <c r="K892" s="4"/>
      <c r="L892" s="4"/>
      <c r="M892" s="4"/>
      <c r="N892" s="4"/>
      <c r="O892" s="4"/>
      <c r="P892" s="4"/>
      <c r="T892" s="4"/>
      <c r="U892" s="4"/>
      <c r="V892" s="4"/>
      <c r="W892" s="4"/>
      <c r="X892" s="4"/>
      <c r="Y892" s="4"/>
      <c r="Z892" s="4"/>
      <c r="AA892" s="4"/>
      <c r="AB892" s="4"/>
      <c r="AC892" s="4"/>
      <c r="AD892" s="4"/>
    </row>
    <row r="893" ht="13.5" customHeight="1" spans="1:30" x14ac:dyDescent="0.25">
      <c r="A893" s="4"/>
      <c r="B893" s="4"/>
      <c r="E893" s="4"/>
      <c r="F893" s="4"/>
      <c r="G893" s="4"/>
      <c r="H893" s="4"/>
      <c r="I893" s="4"/>
      <c r="J893" s="4"/>
      <c r="K893" s="4"/>
      <c r="L893" s="4"/>
      <c r="M893" s="4"/>
      <c r="N893" s="4"/>
      <c r="O893" s="4"/>
      <c r="P893" s="4"/>
      <c r="T893" s="4"/>
      <c r="U893" s="4"/>
      <c r="V893" s="4"/>
      <c r="W893" s="4"/>
      <c r="X893" s="4"/>
      <c r="Y893" s="4"/>
      <c r="Z893" s="4"/>
      <c r="AA893" s="4"/>
      <c r="AB893" s="4"/>
      <c r="AC893" s="4"/>
      <c r="AD893" s="4"/>
    </row>
    <row r="894" ht="13.5" customHeight="1" spans="1:30" x14ac:dyDescent="0.25">
      <c r="A894" s="4"/>
      <c r="B894" s="4"/>
      <c r="E894" s="4"/>
      <c r="F894" s="4"/>
      <c r="G894" s="4"/>
      <c r="H894" s="4"/>
      <c r="I894" s="4"/>
      <c r="J894" s="4"/>
      <c r="K894" s="4"/>
      <c r="L894" s="4"/>
      <c r="M894" s="4"/>
      <c r="N894" s="4"/>
      <c r="O894" s="4"/>
      <c r="P894" s="4"/>
      <c r="T894" s="4"/>
      <c r="U894" s="4"/>
      <c r="V894" s="4"/>
      <c r="W894" s="4"/>
      <c r="X894" s="4"/>
      <c r="Y894" s="4"/>
      <c r="Z894" s="4"/>
      <c r="AA894" s="4"/>
      <c r="AB894" s="4"/>
      <c r="AC894" s="4"/>
      <c r="AD894" s="4"/>
    </row>
    <row r="895" ht="13.5" customHeight="1" spans="1:30" x14ac:dyDescent="0.25">
      <c r="A895" s="4"/>
      <c r="B895" s="4"/>
      <c r="E895" s="4"/>
      <c r="F895" s="4"/>
      <c r="G895" s="4"/>
      <c r="H895" s="4"/>
      <c r="I895" s="4"/>
      <c r="J895" s="4"/>
      <c r="K895" s="4"/>
      <c r="L895" s="4"/>
      <c r="M895" s="4"/>
      <c r="N895" s="4"/>
      <c r="O895" s="4"/>
      <c r="P895" s="4"/>
      <c r="T895" s="4"/>
      <c r="U895" s="4"/>
      <c r="V895" s="4"/>
      <c r="W895" s="4"/>
      <c r="X895" s="4"/>
      <c r="Y895" s="4"/>
      <c r="Z895" s="4"/>
      <c r="AA895" s="4"/>
      <c r="AB895" s="4"/>
      <c r="AC895" s="4"/>
      <c r="AD895" s="4"/>
    </row>
    <row r="896" ht="13.5" customHeight="1" spans="1:30" x14ac:dyDescent="0.25">
      <c r="A896" s="4"/>
      <c r="B896" s="4"/>
      <c r="E896" s="4"/>
      <c r="F896" s="4"/>
      <c r="G896" s="4"/>
      <c r="H896" s="4"/>
      <c r="I896" s="4"/>
      <c r="J896" s="4"/>
      <c r="K896" s="4"/>
      <c r="L896" s="4"/>
      <c r="M896" s="4"/>
      <c r="N896" s="4"/>
      <c r="O896" s="4"/>
      <c r="P896" s="4"/>
      <c r="T896" s="4"/>
      <c r="U896" s="4"/>
      <c r="V896" s="4"/>
      <c r="W896" s="4"/>
      <c r="X896" s="4"/>
      <c r="Y896" s="4"/>
      <c r="Z896" s="4"/>
      <c r="AA896" s="4"/>
      <c r="AB896" s="4"/>
      <c r="AC896" s="4"/>
      <c r="AD896" s="4"/>
    </row>
    <row r="897" ht="13.5" customHeight="1" spans="1:30" x14ac:dyDescent="0.25">
      <c r="A897" s="4"/>
      <c r="B897" s="4"/>
      <c r="E897" s="4"/>
      <c r="F897" s="4"/>
      <c r="G897" s="4"/>
      <c r="H897" s="4"/>
      <c r="I897" s="4"/>
      <c r="J897" s="4"/>
      <c r="K897" s="4"/>
      <c r="L897" s="4"/>
      <c r="M897" s="4"/>
      <c r="N897" s="4"/>
      <c r="O897" s="4"/>
      <c r="P897" s="4"/>
      <c r="T897" s="4"/>
      <c r="U897" s="4"/>
      <c r="V897" s="4"/>
      <c r="W897" s="4"/>
      <c r="X897" s="4"/>
      <c r="Y897" s="4"/>
      <c r="Z897" s="4"/>
      <c r="AA897" s="4"/>
      <c r="AB897" s="4"/>
      <c r="AC897" s="4"/>
      <c r="AD897" s="4"/>
    </row>
    <row r="898" ht="13.5" customHeight="1" spans="1:30" x14ac:dyDescent="0.25">
      <c r="A898" s="4"/>
      <c r="B898" s="4"/>
      <c r="E898" s="4"/>
      <c r="F898" s="4"/>
      <c r="G898" s="4"/>
      <c r="H898" s="4"/>
      <c r="I898" s="4"/>
      <c r="J898" s="4"/>
      <c r="K898" s="4"/>
      <c r="L898" s="4"/>
      <c r="M898" s="4"/>
      <c r="N898" s="4"/>
      <c r="O898" s="4"/>
      <c r="P898" s="4"/>
      <c r="T898" s="4"/>
      <c r="U898" s="4"/>
      <c r="V898" s="4"/>
      <c r="W898" s="4"/>
      <c r="X898" s="4"/>
      <c r="Y898" s="4"/>
      <c r="Z898" s="4"/>
      <c r="AA898" s="4"/>
      <c r="AB898" s="4"/>
      <c r="AC898" s="4"/>
      <c r="AD898" s="4"/>
    </row>
    <row r="899" ht="13.5" customHeight="1" spans="1:30" x14ac:dyDescent="0.25">
      <c r="A899" s="4"/>
      <c r="B899" s="4"/>
      <c r="E899" s="4"/>
      <c r="F899" s="4"/>
      <c r="G899" s="4"/>
      <c r="H899" s="4"/>
      <c r="I899" s="4"/>
      <c r="J899" s="4"/>
      <c r="K899" s="4"/>
      <c r="L899" s="4"/>
      <c r="M899" s="4"/>
      <c r="N899" s="4"/>
      <c r="O899" s="4"/>
      <c r="P899" s="4"/>
      <c r="T899" s="4"/>
      <c r="U899" s="4"/>
      <c r="V899" s="4"/>
      <c r="W899" s="4"/>
      <c r="X899" s="4"/>
      <c r="Y899" s="4"/>
      <c r="Z899" s="4"/>
      <c r="AA899" s="4"/>
      <c r="AB899" s="4"/>
      <c r="AC899" s="4"/>
      <c r="AD899" s="4"/>
    </row>
    <row r="900" ht="13.5" customHeight="1" spans="1:30" x14ac:dyDescent="0.25">
      <c r="A900" s="4"/>
      <c r="B900" s="4"/>
      <c r="E900" s="4"/>
      <c r="F900" s="4"/>
      <c r="G900" s="4"/>
      <c r="H900" s="4"/>
      <c r="I900" s="4"/>
      <c r="J900" s="4"/>
      <c r="K900" s="4"/>
      <c r="L900" s="4"/>
      <c r="M900" s="4"/>
      <c r="N900" s="4"/>
      <c r="O900" s="4"/>
      <c r="P900" s="4"/>
      <c r="T900" s="4"/>
      <c r="U900" s="4"/>
      <c r="V900" s="4"/>
      <c r="W900" s="4"/>
      <c r="X900" s="4"/>
      <c r="Y900" s="4"/>
      <c r="Z900" s="4"/>
      <c r="AA900" s="4"/>
      <c r="AB900" s="4"/>
      <c r="AC900" s="4"/>
      <c r="AD900" s="4"/>
    </row>
    <row r="901" ht="13.5" customHeight="1" spans="1:30" x14ac:dyDescent="0.25">
      <c r="A901" s="4"/>
      <c r="B901" s="4"/>
      <c r="E901" s="4"/>
      <c r="F901" s="4"/>
      <c r="G901" s="4"/>
      <c r="H901" s="4"/>
      <c r="I901" s="4"/>
      <c r="J901" s="4"/>
      <c r="K901" s="4"/>
      <c r="L901" s="4"/>
      <c r="M901" s="4"/>
      <c r="N901" s="4"/>
      <c r="O901" s="4"/>
      <c r="P901" s="4"/>
      <c r="T901" s="4"/>
      <c r="U901" s="4"/>
      <c r="V901" s="4"/>
      <c r="W901" s="4"/>
      <c r="X901" s="4"/>
      <c r="Y901" s="4"/>
      <c r="Z901" s="4"/>
      <c r="AA901" s="4"/>
      <c r="AB901" s="4"/>
      <c r="AC901" s="4"/>
      <c r="AD901" s="4"/>
    </row>
    <row r="902" ht="13.5" customHeight="1" spans="1:30" x14ac:dyDescent="0.25">
      <c r="A902" s="4"/>
      <c r="B902" s="4"/>
      <c r="E902" s="4"/>
      <c r="F902" s="4"/>
      <c r="G902" s="4"/>
      <c r="H902" s="4"/>
      <c r="I902" s="4"/>
      <c r="J902" s="4"/>
      <c r="K902" s="4"/>
      <c r="L902" s="4"/>
      <c r="M902" s="4"/>
      <c r="N902" s="4"/>
      <c r="O902" s="4"/>
      <c r="P902" s="4"/>
      <c r="T902" s="4"/>
      <c r="U902" s="4"/>
      <c r="V902" s="4"/>
      <c r="W902" s="4"/>
      <c r="X902" s="4"/>
      <c r="Y902" s="4"/>
      <c r="Z902" s="4"/>
      <c r="AA902" s="4"/>
      <c r="AB902" s="4"/>
      <c r="AC902" s="4"/>
      <c r="AD902" s="4"/>
    </row>
    <row r="903" ht="13.5" customHeight="1" spans="1:30" x14ac:dyDescent="0.25">
      <c r="A903" s="4"/>
      <c r="B903" s="4"/>
      <c r="E903" s="4"/>
      <c r="F903" s="4"/>
      <c r="G903" s="4"/>
      <c r="H903" s="4"/>
      <c r="I903" s="4"/>
      <c r="J903" s="4"/>
      <c r="K903" s="4"/>
      <c r="L903" s="4"/>
      <c r="M903" s="4"/>
      <c r="N903" s="4"/>
      <c r="O903" s="4"/>
      <c r="P903" s="4"/>
      <c r="T903" s="4"/>
      <c r="U903" s="4"/>
      <c r="V903" s="4"/>
      <c r="W903" s="4"/>
      <c r="X903" s="4"/>
      <c r="Y903" s="4"/>
      <c r="Z903" s="4"/>
      <c r="AA903" s="4"/>
      <c r="AB903" s="4"/>
      <c r="AC903" s="4"/>
      <c r="AD903" s="4"/>
    </row>
    <row r="904" ht="13.5" customHeight="1" spans="1:30" x14ac:dyDescent="0.25">
      <c r="A904" s="4"/>
      <c r="B904" s="4"/>
      <c r="E904" s="4"/>
      <c r="F904" s="4"/>
      <c r="G904" s="4"/>
      <c r="H904" s="4"/>
      <c r="I904" s="4"/>
      <c r="J904" s="4"/>
      <c r="K904" s="4"/>
      <c r="L904" s="4"/>
      <c r="M904" s="4"/>
      <c r="N904" s="4"/>
      <c r="O904" s="4"/>
      <c r="P904" s="4"/>
      <c r="T904" s="4"/>
      <c r="U904" s="4"/>
      <c r="V904" s="4"/>
      <c r="W904" s="4"/>
      <c r="X904" s="4"/>
      <c r="Y904" s="4"/>
      <c r="Z904" s="4"/>
      <c r="AA904" s="4"/>
      <c r="AB904" s="4"/>
      <c r="AC904" s="4"/>
      <c r="AD904" s="4"/>
    </row>
    <row r="905" ht="13.5" customHeight="1" spans="1:30" x14ac:dyDescent="0.25">
      <c r="A905" s="4"/>
      <c r="B905" s="4"/>
      <c r="E905" s="4"/>
      <c r="F905" s="4"/>
      <c r="G905" s="4"/>
      <c r="H905" s="4"/>
      <c r="I905" s="4"/>
      <c r="J905" s="4"/>
      <c r="K905" s="4"/>
      <c r="L905" s="4"/>
      <c r="M905" s="4"/>
      <c r="N905" s="4"/>
      <c r="O905" s="4"/>
      <c r="P905" s="4"/>
      <c r="T905" s="4"/>
      <c r="U905" s="4"/>
      <c r="V905" s="4"/>
      <c r="W905" s="4"/>
      <c r="X905" s="4"/>
      <c r="Y905" s="4"/>
      <c r="Z905" s="4"/>
      <c r="AA905" s="4"/>
      <c r="AB905" s="4"/>
      <c r="AC905" s="4"/>
      <c r="AD905" s="4"/>
    </row>
    <row r="906" ht="13.5" customHeight="1" spans="1:30" x14ac:dyDescent="0.25">
      <c r="A906" s="4"/>
      <c r="B906" s="4"/>
      <c r="E906" s="4"/>
      <c r="F906" s="4"/>
      <c r="G906" s="4"/>
      <c r="H906" s="4"/>
      <c r="I906" s="4"/>
      <c r="J906" s="4"/>
      <c r="K906" s="4"/>
      <c r="L906" s="4"/>
      <c r="M906" s="4"/>
      <c r="N906" s="4"/>
      <c r="O906" s="4"/>
      <c r="P906" s="4"/>
      <c r="T906" s="4"/>
      <c r="U906" s="4"/>
      <c r="V906" s="4"/>
      <c r="W906" s="4"/>
      <c r="X906" s="4"/>
      <c r="Y906" s="4"/>
      <c r="Z906" s="4"/>
      <c r="AA906" s="4"/>
      <c r="AB906" s="4"/>
      <c r="AC906" s="4"/>
      <c r="AD906" s="4"/>
    </row>
    <row r="907" ht="13.5" customHeight="1" spans="1:30" x14ac:dyDescent="0.25">
      <c r="A907" s="4"/>
      <c r="B907" s="4"/>
      <c r="E907" s="4"/>
      <c r="F907" s="4"/>
      <c r="G907" s="4"/>
      <c r="H907" s="4"/>
      <c r="I907" s="4"/>
      <c r="J907" s="4"/>
      <c r="K907" s="4"/>
      <c r="L907" s="4"/>
      <c r="M907" s="4"/>
      <c r="N907" s="4"/>
      <c r="O907" s="4"/>
      <c r="P907" s="4"/>
      <c r="T907" s="4"/>
      <c r="U907" s="4"/>
      <c r="V907" s="4"/>
      <c r="W907" s="4"/>
      <c r="X907" s="4"/>
      <c r="Y907" s="4"/>
      <c r="Z907" s="4"/>
      <c r="AA907" s="4"/>
      <c r="AB907" s="4"/>
      <c r="AC907" s="4"/>
      <c r="AD907" s="4"/>
    </row>
    <row r="908" ht="13.5" customHeight="1" spans="1:30" x14ac:dyDescent="0.25">
      <c r="A908" s="4"/>
      <c r="B908" s="4"/>
      <c r="E908" s="4"/>
      <c r="F908" s="4"/>
      <c r="G908" s="4"/>
      <c r="H908" s="4"/>
      <c r="I908" s="4"/>
      <c r="J908" s="4"/>
      <c r="K908" s="4"/>
      <c r="L908" s="4"/>
      <c r="M908" s="4"/>
      <c r="N908" s="4"/>
      <c r="O908" s="4"/>
      <c r="P908" s="4"/>
      <c r="T908" s="4"/>
      <c r="U908" s="4"/>
      <c r="V908" s="4"/>
      <c r="W908" s="4"/>
      <c r="X908" s="4"/>
      <c r="Y908" s="4"/>
      <c r="Z908" s="4"/>
      <c r="AA908" s="4"/>
      <c r="AB908" s="4"/>
      <c r="AC908" s="4"/>
      <c r="AD908" s="4"/>
    </row>
    <row r="909" ht="13.5" customHeight="1" spans="1:30" x14ac:dyDescent="0.25">
      <c r="A909" s="4"/>
      <c r="B909" s="4"/>
      <c r="E909" s="4"/>
      <c r="F909" s="4"/>
      <c r="G909" s="4"/>
      <c r="H909" s="4"/>
      <c r="I909" s="4"/>
      <c r="J909" s="4"/>
      <c r="K909" s="4"/>
      <c r="L909" s="4"/>
      <c r="M909" s="4"/>
      <c r="N909" s="4"/>
      <c r="O909" s="4"/>
      <c r="P909" s="4"/>
      <c r="T909" s="4"/>
      <c r="U909" s="4"/>
      <c r="V909" s="4"/>
      <c r="W909" s="4"/>
      <c r="X909" s="4"/>
      <c r="Y909" s="4"/>
      <c r="Z909" s="4"/>
      <c r="AA909" s="4"/>
      <c r="AB909" s="4"/>
      <c r="AC909" s="4"/>
      <c r="AD909" s="4"/>
    </row>
    <row r="910" ht="13.5" customHeight="1" spans="1:30" x14ac:dyDescent="0.25">
      <c r="A910" s="4"/>
      <c r="B910" s="4"/>
      <c r="E910" s="4"/>
      <c r="F910" s="4"/>
      <c r="G910" s="4"/>
      <c r="H910" s="4"/>
      <c r="I910" s="4"/>
      <c r="J910" s="4"/>
      <c r="K910" s="4"/>
      <c r="L910" s="4"/>
      <c r="M910" s="4"/>
      <c r="N910" s="4"/>
      <c r="O910" s="4"/>
      <c r="P910" s="4"/>
      <c r="T910" s="4"/>
      <c r="U910" s="4"/>
      <c r="V910" s="4"/>
      <c r="W910" s="4"/>
      <c r="X910" s="4"/>
      <c r="Y910" s="4"/>
      <c r="Z910" s="4"/>
      <c r="AA910" s="4"/>
      <c r="AB910" s="4"/>
      <c r="AC910" s="4"/>
      <c r="AD910" s="4"/>
    </row>
    <row r="911" ht="13.5" customHeight="1" spans="1:30" x14ac:dyDescent="0.25">
      <c r="A911" s="4"/>
      <c r="B911" s="4"/>
      <c r="E911" s="4"/>
      <c r="F911" s="4"/>
      <c r="G911" s="4"/>
      <c r="H911" s="4"/>
      <c r="I911" s="4"/>
      <c r="J911" s="4"/>
      <c r="K911" s="4"/>
      <c r="L911" s="4"/>
      <c r="M911" s="4"/>
      <c r="N911" s="4"/>
      <c r="O911" s="4"/>
      <c r="P911" s="4"/>
      <c r="T911" s="4"/>
      <c r="U911" s="4"/>
      <c r="V911" s="4"/>
      <c r="W911" s="4"/>
      <c r="X911" s="4"/>
      <c r="Y911" s="4"/>
      <c r="Z911" s="4"/>
      <c r="AA911" s="4"/>
      <c r="AB911" s="4"/>
      <c r="AC911" s="4"/>
      <c r="AD911" s="4"/>
    </row>
    <row r="912" ht="13.5" customHeight="1" spans="1:30" x14ac:dyDescent="0.25">
      <c r="A912" s="4"/>
      <c r="B912" s="4"/>
      <c r="E912" s="4"/>
      <c r="F912" s="4"/>
      <c r="G912" s="4"/>
      <c r="H912" s="4"/>
      <c r="I912" s="4"/>
      <c r="J912" s="4"/>
      <c r="K912" s="4"/>
      <c r="L912" s="4"/>
      <c r="M912" s="4"/>
      <c r="N912" s="4"/>
      <c r="O912" s="4"/>
      <c r="P912" s="4"/>
      <c r="T912" s="4"/>
      <c r="U912" s="4"/>
      <c r="V912" s="4"/>
      <c r="W912" s="4"/>
      <c r="X912" s="4"/>
      <c r="Y912" s="4"/>
      <c r="Z912" s="4"/>
      <c r="AA912" s="4"/>
      <c r="AB912" s="4"/>
      <c r="AC912" s="4"/>
      <c r="AD912" s="4"/>
    </row>
    <row r="913" ht="13.5" customHeight="1" spans="1:30" x14ac:dyDescent="0.25">
      <c r="A913" s="4"/>
      <c r="B913" s="4"/>
      <c r="E913" s="4"/>
      <c r="F913" s="4"/>
      <c r="G913" s="4"/>
      <c r="H913" s="4"/>
      <c r="I913" s="4"/>
      <c r="J913" s="4"/>
      <c r="K913" s="4"/>
      <c r="L913" s="4"/>
      <c r="M913" s="4"/>
      <c r="N913" s="4"/>
      <c r="O913" s="4"/>
      <c r="P913" s="4"/>
      <c r="T913" s="4"/>
      <c r="U913" s="4"/>
      <c r="V913" s="4"/>
      <c r="W913" s="4"/>
      <c r="X913" s="4"/>
      <c r="Y913" s="4"/>
      <c r="Z913" s="4"/>
      <c r="AA913" s="4"/>
      <c r="AB913" s="4"/>
      <c r="AC913" s="4"/>
      <c r="AD913" s="4"/>
    </row>
    <row r="914" ht="13.5" customHeight="1" spans="1:30" x14ac:dyDescent="0.25">
      <c r="A914" s="4"/>
      <c r="B914" s="4"/>
      <c r="E914" s="4"/>
      <c r="F914" s="4"/>
      <c r="G914" s="4"/>
      <c r="H914" s="4"/>
      <c r="I914" s="4"/>
      <c r="J914" s="4"/>
      <c r="K914" s="4"/>
      <c r="L914" s="4"/>
      <c r="M914" s="4"/>
      <c r="N914" s="4"/>
      <c r="O914" s="4"/>
      <c r="P914" s="4"/>
      <c r="T914" s="4"/>
      <c r="U914" s="4"/>
      <c r="V914" s="4"/>
      <c r="W914" s="4"/>
      <c r="X914" s="4"/>
      <c r="Y914" s="4"/>
      <c r="Z914" s="4"/>
      <c r="AA914" s="4"/>
      <c r="AB914" s="4"/>
      <c r="AC914" s="4"/>
      <c r="AD914" s="4"/>
    </row>
    <row r="915" ht="13.5" customHeight="1" spans="1:30" x14ac:dyDescent="0.25">
      <c r="A915" s="4"/>
      <c r="B915" s="4"/>
      <c r="E915" s="4"/>
      <c r="F915" s="4"/>
      <c r="G915" s="4"/>
      <c r="H915" s="4"/>
      <c r="I915" s="4"/>
      <c r="J915" s="4"/>
      <c r="K915" s="4"/>
      <c r="L915" s="4"/>
      <c r="M915" s="4"/>
      <c r="N915" s="4"/>
      <c r="O915" s="4"/>
      <c r="P915" s="4"/>
      <c r="T915" s="4"/>
      <c r="U915" s="4"/>
      <c r="V915" s="4"/>
      <c r="W915" s="4"/>
      <c r="X915" s="4"/>
      <c r="Y915" s="4"/>
      <c r="Z915" s="4"/>
      <c r="AA915" s="4"/>
      <c r="AB915" s="4"/>
      <c r="AC915" s="4"/>
      <c r="AD915" s="4"/>
    </row>
    <row r="916" ht="13.5" customHeight="1" spans="1:30" x14ac:dyDescent="0.25">
      <c r="A916" s="4"/>
      <c r="B916" s="4"/>
      <c r="E916" s="4"/>
      <c r="F916" s="4"/>
      <c r="G916" s="4"/>
      <c r="H916" s="4"/>
      <c r="I916" s="4"/>
      <c r="J916" s="4"/>
      <c r="K916" s="4"/>
      <c r="L916" s="4"/>
      <c r="M916" s="4"/>
      <c r="N916" s="4"/>
      <c r="O916" s="4"/>
      <c r="P916" s="4"/>
      <c r="T916" s="4"/>
      <c r="U916" s="4"/>
      <c r="V916" s="4"/>
      <c r="W916" s="4"/>
      <c r="X916" s="4"/>
      <c r="Y916" s="4"/>
      <c r="Z916" s="4"/>
      <c r="AA916" s="4"/>
      <c r="AB916" s="4"/>
      <c r="AC916" s="4"/>
      <c r="AD916" s="4"/>
    </row>
    <row r="917" ht="13.5" customHeight="1" spans="1:30" x14ac:dyDescent="0.25">
      <c r="A917" s="4"/>
      <c r="B917" s="4"/>
      <c r="E917" s="4"/>
      <c r="F917" s="4"/>
      <c r="G917" s="4"/>
      <c r="H917" s="4"/>
      <c r="I917" s="4"/>
      <c r="J917" s="4"/>
      <c r="K917" s="4"/>
      <c r="L917" s="4"/>
      <c r="M917" s="4"/>
      <c r="N917" s="4"/>
      <c r="O917" s="4"/>
      <c r="P917" s="4"/>
      <c r="T917" s="4"/>
      <c r="U917" s="4"/>
      <c r="V917" s="4"/>
      <c r="W917" s="4"/>
      <c r="X917" s="4"/>
      <c r="Y917" s="4"/>
      <c r="Z917" s="4"/>
      <c r="AA917" s="4"/>
      <c r="AB917" s="4"/>
      <c r="AC917" s="4"/>
      <c r="AD917" s="4"/>
    </row>
    <row r="918" ht="13.5" customHeight="1" spans="1:30" x14ac:dyDescent="0.25">
      <c r="A918" s="4"/>
      <c r="B918" s="4"/>
      <c r="E918" s="4"/>
      <c r="F918" s="4"/>
      <c r="G918" s="4"/>
      <c r="H918" s="4"/>
      <c r="I918" s="4"/>
      <c r="J918" s="4"/>
      <c r="K918" s="4"/>
      <c r="L918" s="4"/>
      <c r="M918" s="4"/>
      <c r="N918" s="4"/>
      <c r="O918" s="4"/>
      <c r="P918" s="4"/>
      <c r="T918" s="4"/>
      <c r="U918" s="4"/>
      <c r="V918" s="4"/>
      <c r="W918" s="4"/>
      <c r="X918" s="4"/>
      <c r="Y918" s="4"/>
      <c r="Z918" s="4"/>
      <c r="AA918" s="4"/>
      <c r="AB918" s="4"/>
      <c r="AC918" s="4"/>
      <c r="AD918" s="4"/>
    </row>
    <row r="919" ht="13.5" customHeight="1" spans="1:30" x14ac:dyDescent="0.25">
      <c r="A919" s="4"/>
      <c r="B919" s="4"/>
      <c r="E919" s="4"/>
      <c r="F919" s="4"/>
      <c r="G919" s="4"/>
      <c r="H919" s="4"/>
      <c r="I919" s="4"/>
      <c r="J919" s="4"/>
      <c r="K919" s="4"/>
      <c r="L919" s="4"/>
      <c r="M919" s="4"/>
      <c r="N919" s="4"/>
      <c r="O919" s="4"/>
      <c r="P919" s="4"/>
      <c r="T919" s="4"/>
      <c r="U919" s="4"/>
      <c r="V919" s="4"/>
      <c r="W919" s="4"/>
      <c r="X919" s="4"/>
      <c r="Y919" s="4"/>
      <c r="Z919" s="4"/>
      <c r="AA919" s="4"/>
      <c r="AB919" s="4"/>
      <c r="AC919" s="4"/>
      <c r="AD919" s="4"/>
    </row>
    <row r="920" ht="13.5" customHeight="1" spans="1:30" x14ac:dyDescent="0.25">
      <c r="A920" s="4"/>
      <c r="B920" s="4"/>
      <c r="E920" s="4"/>
      <c r="F920" s="4"/>
      <c r="G920" s="4"/>
      <c r="H920" s="4"/>
      <c r="I920" s="4"/>
      <c r="J920" s="4"/>
      <c r="K920" s="4"/>
      <c r="L920" s="4"/>
      <c r="M920" s="4"/>
      <c r="N920" s="4"/>
      <c r="O920" s="4"/>
      <c r="P920" s="4"/>
      <c r="T920" s="4"/>
      <c r="U920" s="4"/>
      <c r="V920" s="4"/>
      <c r="W920" s="4"/>
      <c r="X920" s="4"/>
      <c r="Y920" s="4"/>
      <c r="Z920" s="4"/>
      <c r="AA920" s="4"/>
      <c r="AB920" s="4"/>
      <c r="AC920" s="4"/>
      <c r="AD920" s="4"/>
    </row>
    <row r="921" ht="13.5" customHeight="1" spans="1:30" x14ac:dyDescent="0.25">
      <c r="A921" s="4"/>
      <c r="B921" s="4"/>
      <c r="E921" s="4"/>
      <c r="F921" s="4"/>
      <c r="G921" s="4"/>
      <c r="H921" s="4"/>
      <c r="I921" s="4"/>
      <c r="J921" s="4"/>
      <c r="K921" s="4"/>
      <c r="L921" s="4"/>
      <c r="M921" s="4"/>
      <c r="N921" s="4"/>
      <c r="O921" s="4"/>
      <c r="P921" s="4"/>
      <c r="T921" s="4"/>
      <c r="U921" s="4"/>
      <c r="V921" s="4"/>
      <c r="W921" s="4"/>
      <c r="X921" s="4"/>
      <c r="Y921" s="4"/>
      <c r="Z921" s="4"/>
      <c r="AA921" s="4"/>
      <c r="AB921" s="4"/>
      <c r="AC921" s="4"/>
      <c r="AD921" s="4"/>
    </row>
    <row r="922" ht="13.5" customHeight="1" spans="1:30" x14ac:dyDescent="0.25">
      <c r="A922" s="4"/>
      <c r="B922" s="4"/>
      <c r="E922" s="4"/>
      <c r="F922" s="4"/>
      <c r="G922" s="4"/>
      <c r="H922" s="4"/>
      <c r="I922" s="4"/>
      <c r="J922" s="4"/>
      <c r="K922" s="4"/>
      <c r="L922" s="4"/>
      <c r="M922" s="4"/>
      <c r="N922" s="4"/>
      <c r="O922" s="4"/>
      <c r="P922" s="4"/>
      <c r="T922" s="4"/>
      <c r="U922" s="4"/>
      <c r="V922" s="4"/>
      <c r="W922" s="4"/>
      <c r="X922" s="4"/>
      <c r="Y922" s="4"/>
      <c r="Z922" s="4"/>
      <c r="AA922" s="4"/>
      <c r="AB922" s="4"/>
      <c r="AC922" s="4"/>
      <c r="AD922" s="4"/>
    </row>
    <row r="923" ht="13.5" customHeight="1" spans="1:30" x14ac:dyDescent="0.25">
      <c r="A923" s="4"/>
      <c r="B923" s="4"/>
      <c r="E923" s="4"/>
      <c r="F923" s="4"/>
      <c r="G923" s="4"/>
      <c r="H923" s="4"/>
      <c r="I923" s="4"/>
      <c r="J923" s="4"/>
      <c r="K923" s="4"/>
      <c r="L923" s="4"/>
      <c r="M923" s="4"/>
      <c r="N923" s="4"/>
      <c r="O923" s="4"/>
      <c r="P923" s="4"/>
      <c r="T923" s="4"/>
      <c r="U923" s="4"/>
      <c r="V923" s="4"/>
      <c r="W923" s="4"/>
      <c r="X923" s="4"/>
      <c r="Y923" s="4"/>
      <c r="Z923" s="4"/>
      <c r="AA923" s="4"/>
      <c r="AB923" s="4"/>
      <c r="AC923" s="4"/>
      <c r="AD923" s="4"/>
    </row>
    <row r="924" ht="13.5" customHeight="1" spans="1:30" x14ac:dyDescent="0.25">
      <c r="A924" s="4"/>
      <c r="B924" s="4"/>
      <c r="E924" s="4"/>
      <c r="F924" s="4"/>
      <c r="G924" s="4"/>
      <c r="H924" s="4"/>
      <c r="I924" s="4"/>
      <c r="J924" s="4"/>
      <c r="K924" s="4"/>
      <c r="L924" s="4"/>
      <c r="M924" s="4"/>
      <c r="N924" s="4"/>
      <c r="O924" s="4"/>
      <c r="P924" s="4"/>
      <c r="T924" s="4"/>
      <c r="U924" s="4"/>
      <c r="V924" s="4"/>
      <c r="W924" s="4"/>
      <c r="X924" s="4"/>
      <c r="Y924" s="4"/>
      <c r="Z924" s="4"/>
      <c r="AA924" s="4"/>
      <c r="AB924" s="4"/>
      <c r="AC924" s="4"/>
      <c r="AD924" s="4"/>
    </row>
    <row r="925" ht="13.5" customHeight="1" spans="1:30" x14ac:dyDescent="0.25">
      <c r="A925" s="4"/>
      <c r="B925" s="4"/>
      <c r="E925" s="4"/>
      <c r="F925" s="4"/>
      <c r="G925" s="4"/>
      <c r="H925" s="4"/>
      <c r="I925" s="4"/>
      <c r="J925" s="4"/>
      <c r="K925" s="4"/>
      <c r="L925" s="4"/>
      <c r="M925" s="4"/>
      <c r="N925" s="4"/>
      <c r="O925" s="4"/>
      <c r="P925" s="4"/>
      <c r="T925" s="4"/>
      <c r="U925" s="4"/>
      <c r="V925" s="4"/>
      <c r="W925" s="4"/>
      <c r="X925" s="4"/>
      <c r="Y925" s="4"/>
      <c r="Z925" s="4"/>
      <c r="AA925" s="4"/>
      <c r="AB925" s="4"/>
      <c r="AC925" s="4"/>
      <c r="AD925" s="4"/>
    </row>
    <row r="926" ht="13.5" customHeight="1" spans="1:30" x14ac:dyDescent="0.25">
      <c r="A926" s="4"/>
      <c r="B926" s="4"/>
      <c r="E926" s="4"/>
      <c r="F926" s="4"/>
      <c r="G926" s="4"/>
      <c r="H926" s="4"/>
      <c r="I926" s="4"/>
      <c r="J926" s="4"/>
      <c r="K926" s="4"/>
      <c r="L926" s="4"/>
      <c r="M926" s="4"/>
      <c r="N926" s="4"/>
      <c r="O926" s="4"/>
      <c r="P926" s="4"/>
      <c r="T926" s="4"/>
      <c r="U926" s="4"/>
      <c r="V926" s="4"/>
      <c r="W926" s="4"/>
      <c r="X926" s="4"/>
      <c r="Y926" s="4"/>
      <c r="Z926" s="4"/>
      <c r="AA926" s="4"/>
      <c r="AB926" s="4"/>
      <c r="AC926" s="4"/>
      <c r="AD926" s="4"/>
    </row>
    <row r="927" ht="13.5" customHeight="1" spans="1:30" x14ac:dyDescent="0.25">
      <c r="A927" s="4"/>
      <c r="B927" s="4"/>
      <c r="E927" s="4"/>
      <c r="F927" s="4"/>
      <c r="G927" s="4"/>
      <c r="H927" s="4"/>
      <c r="I927" s="4"/>
      <c r="J927" s="4"/>
      <c r="K927" s="4"/>
      <c r="L927" s="4"/>
      <c r="M927" s="4"/>
      <c r="N927" s="4"/>
      <c r="O927" s="4"/>
      <c r="P927" s="4"/>
      <c r="T927" s="4"/>
      <c r="U927" s="4"/>
      <c r="V927" s="4"/>
      <c r="W927" s="4"/>
      <c r="X927" s="4"/>
      <c r="Y927" s="4"/>
      <c r="Z927" s="4"/>
      <c r="AA927" s="4"/>
      <c r="AB927" s="4"/>
      <c r="AC927" s="4"/>
      <c r="AD927" s="4"/>
    </row>
    <row r="928" ht="13.5" customHeight="1" spans="1:30" x14ac:dyDescent="0.25">
      <c r="A928" s="4"/>
      <c r="B928" s="4"/>
      <c r="E928" s="4"/>
      <c r="F928" s="4"/>
      <c r="G928" s="4"/>
      <c r="H928" s="4"/>
      <c r="I928" s="4"/>
      <c r="J928" s="4"/>
      <c r="K928" s="4"/>
      <c r="L928" s="4"/>
      <c r="M928" s="4"/>
      <c r="N928" s="4"/>
      <c r="O928" s="4"/>
      <c r="P928" s="4"/>
      <c r="T928" s="4"/>
      <c r="U928" s="4"/>
      <c r="V928" s="4"/>
      <c r="W928" s="4"/>
      <c r="X928" s="4"/>
      <c r="Y928" s="4"/>
      <c r="Z928" s="4"/>
      <c r="AA928" s="4"/>
      <c r="AB928" s="4"/>
      <c r="AC928" s="4"/>
      <c r="AD928" s="4"/>
    </row>
    <row r="929" ht="13.5" customHeight="1" spans="1:30" x14ac:dyDescent="0.25">
      <c r="A929" s="4"/>
      <c r="B929" s="4"/>
      <c r="E929" s="4"/>
      <c r="F929" s="4"/>
      <c r="G929" s="4"/>
      <c r="H929" s="4"/>
      <c r="I929" s="4"/>
      <c r="J929" s="4"/>
      <c r="K929" s="4"/>
      <c r="L929" s="4"/>
      <c r="M929" s="4"/>
      <c r="N929" s="4"/>
      <c r="O929" s="4"/>
      <c r="P929" s="4"/>
      <c r="T929" s="4"/>
      <c r="U929" s="4"/>
      <c r="V929" s="4"/>
      <c r="W929" s="4"/>
      <c r="X929" s="4"/>
      <c r="Y929" s="4"/>
      <c r="Z929" s="4"/>
      <c r="AA929" s="4"/>
      <c r="AB929" s="4"/>
      <c r="AC929" s="4"/>
      <c r="AD929" s="4"/>
    </row>
    <row r="930" ht="13.5" customHeight="1" spans="1:30" x14ac:dyDescent="0.25">
      <c r="A930" s="4"/>
      <c r="B930" s="4"/>
      <c r="E930" s="4"/>
      <c r="F930" s="4"/>
      <c r="G930" s="4"/>
      <c r="H930" s="4"/>
      <c r="I930" s="4"/>
      <c r="J930" s="4"/>
      <c r="K930" s="4"/>
      <c r="L930" s="4"/>
      <c r="M930" s="4"/>
      <c r="N930" s="4"/>
      <c r="O930" s="4"/>
      <c r="P930" s="4"/>
      <c r="T930" s="4"/>
      <c r="U930" s="4"/>
      <c r="V930" s="4"/>
      <c r="W930" s="4"/>
      <c r="X930" s="4"/>
      <c r="Y930" s="4"/>
      <c r="Z930" s="4"/>
      <c r="AA930" s="4"/>
      <c r="AB930" s="4"/>
      <c r="AC930" s="4"/>
      <c r="AD930" s="4"/>
    </row>
    <row r="931" ht="13.5" customHeight="1" spans="1:30" x14ac:dyDescent="0.25">
      <c r="A931" s="4"/>
      <c r="B931" s="4"/>
      <c r="E931" s="4"/>
      <c r="F931" s="4"/>
      <c r="G931" s="4"/>
      <c r="H931" s="4"/>
      <c r="I931" s="4"/>
      <c r="J931" s="4"/>
      <c r="K931" s="4"/>
      <c r="L931" s="4"/>
      <c r="M931" s="4"/>
      <c r="N931" s="4"/>
      <c r="O931" s="4"/>
      <c r="P931" s="4"/>
      <c r="T931" s="4"/>
      <c r="U931" s="4"/>
      <c r="V931" s="4"/>
      <c r="W931" s="4"/>
      <c r="X931" s="4"/>
      <c r="Y931" s="4"/>
      <c r="Z931" s="4"/>
      <c r="AA931" s="4"/>
      <c r="AB931" s="4"/>
      <c r="AC931" s="4"/>
      <c r="AD931" s="4"/>
    </row>
    <row r="932" ht="13.5" customHeight="1" spans="1:30" x14ac:dyDescent="0.25">
      <c r="A932" s="4"/>
      <c r="B932" s="4"/>
      <c r="E932" s="4"/>
      <c r="F932" s="4"/>
      <c r="G932" s="4"/>
      <c r="H932" s="4"/>
      <c r="I932" s="4"/>
      <c r="J932" s="4"/>
      <c r="K932" s="4"/>
      <c r="L932" s="4"/>
      <c r="M932" s="4"/>
      <c r="N932" s="4"/>
      <c r="O932" s="4"/>
      <c r="P932" s="4"/>
      <c r="T932" s="4"/>
      <c r="U932" s="4"/>
      <c r="V932" s="4"/>
      <c r="W932" s="4"/>
      <c r="X932" s="4"/>
      <c r="Y932" s="4"/>
      <c r="Z932" s="4"/>
      <c r="AA932" s="4"/>
      <c r="AB932" s="4"/>
      <c r="AC932" s="4"/>
      <c r="AD932" s="4"/>
    </row>
    <row r="933" ht="13.5" customHeight="1" spans="1:30" x14ac:dyDescent="0.25">
      <c r="A933" s="4"/>
      <c r="B933" s="4"/>
      <c r="E933" s="4"/>
      <c r="F933" s="4"/>
      <c r="G933" s="4"/>
      <c r="H933" s="4"/>
      <c r="I933" s="4"/>
      <c r="J933" s="4"/>
      <c r="K933" s="4"/>
      <c r="L933" s="4"/>
      <c r="M933" s="4"/>
      <c r="N933" s="4"/>
      <c r="O933" s="4"/>
      <c r="P933" s="4"/>
      <c r="T933" s="4"/>
      <c r="U933" s="4"/>
      <c r="V933" s="4"/>
      <c r="W933" s="4"/>
      <c r="X933" s="4"/>
      <c r="Y933" s="4"/>
      <c r="Z933" s="4"/>
      <c r="AA933" s="4"/>
      <c r="AB933" s="4"/>
      <c r="AC933" s="4"/>
      <c r="AD933" s="4"/>
    </row>
    <row r="934" ht="13.5" customHeight="1" spans="1:30" x14ac:dyDescent="0.25">
      <c r="A934" s="4"/>
      <c r="B934" s="4"/>
      <c r="E934" s="4"/>
      <c r="F934" s="4"/>
      <c r="G934" s="4"/>
      <c r="H934" s="4"/>
      <c r="I934" s="4"/>
      <c r="J934" s="4"/>
      <c r="K934" s="4"/>
      <c r="L934" s="4"/>
      <c r="M934" s="4"/>
      <c r="N934" s="4"/>
      <c r="O934" s="4"/>
      <c r="P934" s="4"/>
      <c r="T934" s="4"/>
      <c r="U934" s="4"/>
      <c r="V934" s="4"/>
      <c r="W934" s="4"/>
      <c r="X934" s="4"/>
      <c r="Y934" s="4"/>
      <c r="Z934" s="4"/>
      <c r="AA934" s="4"/>
      <c r="AB934" s="4"/>
      <c r="AC934" s="4"/>
      <c r="AD934" s="4"/>
    </row>
    <row r="935" ht="13.5" customHeight="1" spans="1:30" x14ac:dyDescent="0.25">
      <c r="A935" s="4"/>
      <c r="B935" s="4"/>
      <c r="E935" s="4"/>
      <c r="F935" s="4"/>
      <c r="G935" s="4"/>
      <c r="H935" s="4"/>
      <c r="I935" s="4"/>
      <c r="J935" s="4"/>
      <c r="K935" s="4"/>
      <c r="L935" s="4"/>
      <c r="M935" s="4"/>
      <c r="N935" s="4"/>
      <c r="O935" s="4"/>
      <c r="P935" s="4"/>
      <c r="T935" s="4"/>
      <c r="U935" s="4"/>
      <c r="V935" s="4"/>
      <c r="W935" s="4"/>
      <c r="X935" s="4"/>
      <c r="Y935" s="4"/>
      <c r="Z935" s="4"/>
      <c r="AA935" s="4"/>
      <c r="AB935" s="4"/>
      <c r="AC935" s="4"/>
      <c r="AD935" s="4"/>
    </row>
    <row r="936" ht="13.5" customHeight="1" spans="1:30" x14ac:dyDescent="0.25">
      <c r="A936" s="4"/>
      <c r="B936" s="4"/>
      <c r="E936" s="4"/>
      <c r="F936" s="4"/>
      <c r="G936" s="4"/>
      <c r="H936" s="4"/>
      <c r="I936" s="4"/>
      <c r="J936" s="4"/>
      <c r="K936" s="4"/>
      <c r="L936" s="4"/>
      <c r="M936" s="4"/>
      <c r="N936" s="4"/>
      <c r="O936" s="4"/>
      <c r="P936" s="4"/>
      <c r="T936" s="4"/>
      <c r="U936" s="4"/>
      <c r="V936" s="4"/>
      <c r="W936" s="4"/>
      <c r="X936" s="4"/>
      <c r="Y936" s="4"/>
      <c r="Z936" s="4"/>
      <c r="AA936" s="4"/>
      <c r="AB936" s="4"/>
      <c r="AC936" s="4"/>
      <c r="AD936" s="4"/>
    </row>
    <row r="937" ht="13.5" customHeight="1" spans="1:30" x14ac:dyDescent="0.25">
      <c r="A937" s="4"/>
      <c r="B937" s="4"/>
      <c r="E937" s="4"/>
      <c r="F937" s="4"/>
      <c r="G937" s="4"/>
      <c r="H937" s="4"/>
      <c r="I937" s="4"/>
      <c r="J937" s="4"/>
      <c r="K937" s="4"/>
      <c r="L937" s="4"/>
      <c r="M937" s="4"/>
      <c r="N937" s="4"/>
      <c r="O937" s="4"/>
      <c r="P937" s="4"/>
      <c r="T937" s="4"/>
      <c r="U937" s="4"/>
      <c r="V937" s="4"/>
      <c r="W937" s="4"/>
      <c r="X937" s="4"/>
      <c r="Y937" s="4"/>
      <c r="Z937" s="4"/>
      <c r="AA937" s="4"/>
      <c r="AB937" s="4"/>
      <c r="AC937" s="4"/>
      <c r="AD937" s="4"/>
    </row>
    <row r="938" ht="13.5" customHeight="1" spans="1:30" x14ac:dyDescent="0.25">
      <c r="A938" s="4"/>
      <c r="B938" s="4"/>
      <c r="E938" s="4"/>
      <c r="F938" s="4"/>
      <c r="G938" s="4"/>
      <c r="H938" s="4"/>
      <c r="I938" s="4"/>
      <c r="J938" s="4"/>
      <c r="K938" s="4"/>
      <c r="L938" s="4"/>
      <c r="M938" s="4"/>
      <c r="N938" s="4"/>
      <c r="O938" s="4"/>
      <c r="P938" s="4"/>
      <c r="T938" s="4"/>
      <c r="U938" s="4"/>
      <c r="V938" s="4"/>
      <c r="W938" s="4"/>
      <c r="X938" s="4"/>
      <c r="Y938" s="4"/>
      <c r="Z938" s="4"/>
      <c r="AA938" s="4"/>
      <c r="AB938" s="4"/>
      <c r="AC938" s="4"/>
      <c r="AD938" s="4"/>
    </row>
    <row r="939" ht="13.5" customHeight="1" spans="1:30" x14ac:dyDescent="0.25">
      <c r="A939" s="4"/>
      <c r="B939" s="4"/>
      <c r="E939" s="4"/>
      <c r="F939" s="4"/>
      <c r="G939" s="4"/>
      <c r="H939" s="4"/>
      <c r="I939" s="4"/>
      <c r="J939" s="4"/>
      <c r="K939" s="4"/>
      <c r="L939" s="4"/>
      <c r="M939" s="4"/>
      <c r="N939" s="4"/>
      <c r="O939" s="4"/>
      <c r="P939" s="4"/>
      <c r="T939" s="4"/>
      <c r="U939" s="4"/>
      <c r="V939" s="4"/>
      <c r="W939" s="4"/>
      <c r="X939" s="4"/>
      <c r="Y939" s="4"/>
      <c r="Z939" s="4"/>
      <c r="AA939" s="4"/>
      <c r="AB939" s="4"/>
      <c r="AC939" s="4"/>
      <c r="AD939" s="4"/>
    </row>
    <row r="940" ht="13.5" customHeight="1" spans="1:30" x14ac:dyDescent="0.25">
      <c r="A940" s="4"/>
      <c r="B940" s="4"/>
      <c r="E940" s="4"/>
      <c r="F940" s="4"/>
      <c r="G940" s="4"/>
      <c r="H940" s="4"/>
      <c r="I940" s="4"/>
      <c r="J940" s="4"/>
      <c r="K940" s="4"/>
      <c r="L940" s="4"/>
      <c r="M940" s="4"/>
      <c r="N940" s="4"/>
      <c r="O940" s="4"/>
      <c r="P940" s="4"/>
      <c r="T940" s="4"/>
      <c r="U940" s="4"/>
      <c r="V940" s="4"/>
      <c r="W940" s="4"/>
      <c r="X940" s="4"/>
      <c r="Y940" s="4"/>
      <c r="Z940" s="4"/>
      <c r="AA940" s="4"/>
      <c r="AB940" s="4"/>
      <c r="AC940" s="4"/>
      <c r="AD940" s="4"/>
    </row>
    <row r="941" ht="13.5" customHeight="1" spans="1:30" x14ac:dyDescent="0.25">
      <c r="A941" s="4"/>
      <c r="B941" s="4"/>
      <c r="E941" s="4"/>
      <c r="F941" s="4"/>
      <c r="G941" s="4"/>
      <c r="H941" s="4"/>
      <c r="I941" s="4"/>
      <c r="J941" s="4"/>
      <c r="K941" s="4"/>
      <c r="L941" s="4"/>
      <c r="M941" s="4"/>
      <c r="N941" s="4"/>
      <c r="O941" s="4"/>
      <c r="P941" s="4"/>
      <c r="T941" s="4"/>
      <c r="U941" s="4"/>
      <c r="V941" s="4"/>
      <c r="W941" s="4"/>
      <c r="X941" s="4"/>
      <c r="Y941" s="4"/>
      <c r="Z941" s="4"/>
      <c r="AA941" s="4"/>
      <c r="AB941" s="4"/>
      <c r="AC941" s="4"/>
      <c r="AD941" s="4"/>
    </row>
    <row r="942" ht="13.5" customHeight="1" spans="1:30" x14ac:dyDescent="0.25">
      <c r="A942" s="4"/>
      <c r="B942" s="4"/>
      <c r="E942" s="4"/>
      <c r="F942" s="4"/>
      <c r="G942" s="4"/>
      <c r="H942" s="4"/>
      <c r="I942" s="4"/>
      <c r="J942" s="4"/>
      <c r="K942" s="4"/>
      <c r="L942" s="4"/>
      <c r="M942" s="4"/>
      <c r="N942" s="4"/>
      <c r="O942" s="4"/>
      <c r="P942" s="4"/>
      <c r="T942" s="4"/>
      <c r="U942" s="4"/>
      <c r="V942" s="4"/>
      <c r="W942" s="4"/>
      <c r="X942" s="4"/>
      <c r="Y942" s="4"/>
      <c r="Z942" s="4"/>
      <c r="AA942" s="4"/>
      <c r="AB942" s="4"/>
      <c r="AC942" s="4"/>
      <c r="AD942" s="4"/>
    </row>
    <row r="943" ht="13.5" customHeight="1" spans="1:30" x14ac:dyDescent="0.25">
      <c r="A943" s="4"/>
      <c r="B943" s="4"/>
      <c r="E943" s="4"/>
      <c r="F943" s="4"/>
      <c r="G943" s="4"/>
      <c r="H943" s="4"/>
      <c r="I943" s="4"/>
      <c r="J943" s="4"/>
      <c r="K943" s="4"/>
      <c r="L943" s="4"/>
      <c r="M943" s="4"/>
      <c r="N943" s="4"/>
      <c r="O943" s="4"/>
      <c r="P943" s="4"/>
      <c r="T943" s="4"/>
      <c r="U943" s="4"/>
      <c r="V943" s="4"/>
      <c r="W943" s="4"/>
      <c r="X943" s="4"/>
      <c r="Y943" s="4"/>
      <c r="Z943" s="4"/>
      <c r="AA943" s="4"/>
      <c r="AB943" s="4"/>
      <c r="AC943" s="4"/>
      <c r="AD943" s="4"/>
    </row>
    <row r="944" ht="13.5" customHeight="1" spans="1:30" x14ac:dyDescent="0.25">
      <c r="A944" s="4"/>
      <c r="B944" s="4"/>
      <c r="E944" s="4"/>
      <c r="F944" s="4"/>
      <c r="G944" s="4"/>
      <c r="H944" s="4"/>
      <c r="I944" s="4"/>
      <c r="J944" s="4"/>
      <c r="K944" s="4"/>
      <c r="L944" s="4"/>
      <c r="M944" s="4"/>
      <c r="N944" s="4"/>
      <c r="O944" s="4"/>
      <c r="P944" s="4"/>
      <c r="T944" s="4"/>
      <c r="U944" s="4"/>
      <c r="V944" s="4"/>
      <c r="W944" s="4"/>
      <c r="X944" s="4"/>
      <c r="Y944" s="4"/>
      <c r="Z944" s="4"/>
      <c r="AA944" s="4"/>
      <c r="AB944" s="4"/>
      <c r="AC944" s="4"/>
      <c r="AD944" s="4"/>
    </row>
    <row r="945" ht="13.5" customHeight="1" spans="1:30" x14ac:dyDescent="0.25">
      <c r="A945" s="4"/>
      <c r="B945" s="4"/>
      <c r="E945" s="4"/>
      <c r="F945" s="4"/>
      <c r="G945" s="4"/>
      <c r="H945" s="4"/>
      <c r="I945" s="4"/>
      <c r="J945" s="4"/>
      <c r="K945" s="4"/>
      <c r="L945" s="4"/>
      <c r="M945" s="4"/>
      <c r="N945" s="4"/>
      <c r="O945" s="4"/>
      <c r="P945" s="4"/>
      <c r="T945" s="4"/>
      <c r="U945" s="4"/>
      <c r="V945" s="4"/>
      <c r="W945" s="4"/>
      <c r="X945" s="4"/>
      <c r="Y945" s="4"/>
      <c r="Z945" s="4"/>
      <c r="AA945" s="4"/>
      <c r="AB945" s="4"/>
      <c r="AC945" s="4"/>
      <c r="AD945" s="4"/>
    </row>
    <row r="946" ht="13.5" customHeight="1" spans="1:30" x14ac:dyDescent="0.25">
      <c r="A946" s="4"/>
      <c r="B946" s="4"/>
      <c r="E946" s="4"/>
      <c r="F946" s="4"/>
      <c r="G946" s="4"/>
      <c r="H946" s="4"/>
      <c r="I946" s="4"/>
      <c r="J946" s="4"/>
      <c r="K946" s="4"/>
      <c r="L946" s="4"/>
      <c r="M946" s="4"/>
      <c r="N946" s="4"/>
      <c r="O946" s="4"/>
      <c r="P946" s="4"/>
      <c r="T946" s="4"/>
      <c r="U946" s="4"/>
      <c r="V946" s="4"/>
      <c r="W946" s="4"/>
      <c r="X946" s="4"/>
      <c r="Y946" s="4"/>
      <c r="Z946" s="4"/>
      <c r="AA946" s="4"/>
      <c r="AB946" s="4"/>
      <c r="AC946" s="4"/>
      <c r="AD946" s="4"/>
    </row>
    <row r="947" ht="13.5" customHeight="1" spans="1:30" x14ac:dyDescent="0.25">
      <c r="A947" s="4"/>
      <c r="B947" s="4"/>
      <c r="E947" s="4"/>
      <c r="F947" s="4"/>
      <c r="G947" s="4"/>
      <c r="H947" s="4"/>
      <c r="I947" s="4"/>
      <c r="J947" s="4"/>
      <c r="K947" s="4"/>
      <c r="L947" s="4"/>
      <c r="M947" s="4"/>
      <c r="N947" s="4"/>
      <c r="O947" s="4"/>
      <c r="P947" s="4"/>
      <c r="T947" s="4"/>
      <c r="U947" s="4"/>
      <c r="V947" s="4"/>
      <c r="W947" s="4"/>
      <c r="X947" s="4"/>
      <c r="Y947" s="4"/>
      <c r="Z947" s="4"/>
      <c r="AA947" s="4"/>
      <c r="AB947" s="4"/>
      <c r="AC947" s="4"/>
      <c r="AD947" s="4"/>
    </row>
    <row r="948" ht="13.5" customHeight="1" spans="1:30" x14ac:dyDescent="0.25">
      <c r="A948" s="4"/>
      <c r="B948" s="4"/>
      <c r="E948" s="4"/>
      <c r="F948" s="4"/>
      <c r="G948" s="4"/>
      <c r="H948" s="4"/>
      <c r="I948" s="4"/>
      <c r="J948" s="4"/>
      <c r="K948" s="4"/>
      <c r="L948" s="4"/>
      <c r="M948" s="4"/>
      <c r="N948" s="4"/>
      <c r="O948" s="4"/>
      <c r="P948" s="4"/>
      <c r="T948" s="4"/>
      <c r="U948" s="4"/>
      <c r="V948" s="4"/>
      <c r="W948" s="4"/>
      <c r="X948" s="4"/>
      <c r="Y948" s="4"/>
      <c r="Z948" s="4"/>
      <c r="AA948" s="4"/>
      <c r="AB948" s="4"/>
      <c r="AC948" s="4"/>
      <c r="AD948" s="4"/>
    </row>
    <row r="949" ht="13.5" customHeight="1" spans="1:30" x14ac:dyDescent="0.25">
      <c r="A949" s="4"/>
      <c r="B949" s="4"/>
      <c r="E949" s="4"/>
      <c r="F949" s="4"/>
      <c r="G949" s="4"/>
      <c r="H949" s="4"/>
      <c r="I949" s="4"/>
      <c r="J949" s="4"/>
      <c r="K949" s="4"/>
      <c r="L949" s="4"/>
      <c r="M949" s="4"/>
      <c r="N949" s="4"/>
      <c r="O949" s="4"/>
      <c r="P949" s="4"/>
      <c r="T949" s="4"/>
      <c r="U949" s="4"/>
      <c r="V949" s="4"/>
      <c r="W949" s="4"/>
      <c r="X949" s="4"/>
      <c r="Y949" s="4"/>
      <c r="Z949" s="4"/>
      <c r="AA949" s="4"/>
      <c r="AB949" s="4"/>
      <c r="AC949" s="4"/>
      <c r="AD949" s="4"/>
    </row>
    <row r="950" ht="13.5" customHeight="1" spans="1:30" x14ac:dyDescent="0.25">
      <c r="A950" s="4"/>
      <c r="B950" s="4"/>
      <c r="E950" s="4"/>
      <c r="F950" s="4"/>
      <c r="G950" s="4"/>
      <c r="H950" s="4"/>
      <c r="I950" s="4"/>
      <c r="J950" s="4"/>
      <c r="K950" s="4"/>
      <c r="L950" s="4"/>
      <c r="M950" s="4"/>
      <c r="N950" s="4"/>
      <c r="O950" s="4"/>
      <c r="P950" s="4"/>
      <c r="T950" s="4"/>
      <c r="U950" s="4"/>
      <c r="V950" s="4"/>
      <c r="W950" s="4"/>
      <c r="X950" s="4"/>
      <c r="Y950" s="4"/>
      <c r="Z950" s="4"/>
      <c r="AA950" s="4"/>
      <c r="AB950" s="4"/>
      <c r="AC950" s="4"/>
      <c r="AD950" s="4"/>
    </row>
    <row r="951" ht="13.5" customHeight="1" spans="1:30" x14ac:dyDescent="0.25">
      <c r="A951" s="4"/>
      <c r="B951" s="4"/>
      <c r="E951" s="4"/>
      <c r="F951" s="4"/>
      <c r="G951" s="4"/>
      <c r="H951" s="4"/>
      <c r="I951" s="4"/>
      <c r="J951" s="4"/>
      <c r="K951" s="4"/>
      <c r="L951" s="4"/>
      <c r="M951" s="4"/>
      <c r="N951" s="4"/>
      <c r="O951" s="4"/>
      <c r="P951" s="4"/>
      <c r="T951" s="4"/>
      <c r="U951" s="4"/>
      <c r="V951" s="4"/>
      <c r="W951" s="4"/>
      <c r="X951" s="4"/>
      <c r="Y951" s="4"/>
      <c r="Z951" s="4"/>
      <c r="AA951" s="4"/>
      <c r="AB951" s="4"/>
      <c r="AC951" s="4"/>
      <c r="AD951" s="4"/>
    </row>
    <row r="952" ht="13.5" customHeight="1" spans="1:30" x14ac:dyDescent="0.25">
      <c r="A952" s="4"/>
      <c r="B952" s="4"/>
      <c r="E952" s="4"/>
      <c r="F952" s="4"/>
      <c r="G952" s="4"/>
      <c r="H952" s="4"/>
      <c r="I952" s="4"/>
      <c r="J952" s="4"/>
      <c r="K952" s="4"/>
      <c r="L952" s="4"/>
      <c r="M952" s="4"/>
      <c r="N952" s="4"/>
      <c r="O952" s="4"/>
      <c r="P952" s="4"/>
      <c r="T952" s="4"/>
      <c r="U952" s="4"/>
      <c r="V952" s="4"/>
      <c r="W952" s="4"/>
      <c r="X952" s="4"/>
      <c r="Y952" s="4"/>
      <c r="Z952" s="4"/>
      <c r="AA952" s="4"/>
      <c r="AB952" s="4"/>
      <c r="AC952" s="4"/>
      <c r="AD952" s="4"/>
    </row>
    <row r="953" ht="13.5" customHeight="1" spans="1:30" x14ac:dyDescent="0.25">
      <c r="A953" s="4"/>
      <c r="B953" s="4"/>
      <c r="E953" s="4"/>
      <c r="F953" s="4"/>
      <c r="G953" s="4"/>
      <c r="H953" s="4"/>
      <c r="I953" s="4"/>
      <c r="J953" s="4"/>
      <c r="K953" s="4"/>
      <c r="L953" s="4"/>
      <c r="M953" s="4"/>
      <c r="N953" s="4"/>
      <c r="O953" s="4"/>
      <c r="P953" s="4"/>
      <c r="T953" s="4"/>
      <c r="U953" s="4"/>
      <c r="V953" s="4"/>
      <c r="W953" s="4"/>
      <c r="X953" s="4"/>
      <c r="Y953" s="4"/>
      <c r="Z953" s="4"/>
      <c r="AA953" s="4"/>
      <c r="AB953" s="4"/>
      <c r="AC953" s="4"/>
      <c r="AD953" s="4"/>
    </row>
    <row r="954" ht="13.5" customHeight="1" spans="1:30" x14ac:dyDescent="0.25">
      <c r="A954" s="4"/>
      <c r="B954" s="4"/>
      <c r="E954" s="4"/>
      <c r="F954" s="4"/>
      <c r="G954" s="4"/>
      <c r="H954" s="4"/>
      <c r="I954" s="4"/>
      <c r="J954" s="4"/>
      <c r="K954" s="4"/>
      <c r="L954" s="4"/>
      <c r="M954" s="4"/>
      <c r="N954" s="4"/>
      <c r="O954" s="4"/>
      <c r="P954" s="4"/>
      <c r="T954" s="4"/>
      <c r="U954" s="4"/>
      <c r="V954" s="4"/>
      <c r="W954" s="4"/>
      <c r="X954" s="4"/>
      <c r="Y954" s="4"/>
      <c r="Z954" s="4"/>
      <c r="AA954" s="4"/>
      <c r="AB954" s="4"/>
      <c r="AC954" s="4"/>
      <c r="AD954" s="4"/>
    </row>
    <row r="955" ht="13.5" customHeight="1" spans="1:30" x14ac:dyDescent="0.25">
      <c r="A955" s="4"/>
      <c r="B955" s="4"/>
      <c r="E955" s="4"/>
      <c r="F955" s="4"/>
      <c r="G955" s="4"/>
      <c r="H955" s="4"/>
      <c r="I955" s="4"/>
      <c r="J955" s="4"/>
      <c r="K955" s="4"/>
      <c r="L955" s="4"/>
      <c r="M955" s="4"/>
      <c r="N955" s="4"/>
      <c r="O955" s="4"/>
      <c r="P955" s="4"/>
      <c r="T955" s="4"/>
      <c r="U955" s="4"/>
      <c r="V955" s="4"/>
      <c r="W955" s="4"/>
      <c r="X955" s="4"/>
      <c r="Y955" s="4"/>
      <c r="Z955" s="4"/>
      <c r="AA955" s="4"/>
      <c r="AB955" s="4"/>
      <c r="AC955" s="4"/>
      <c r="AD955" s="4"/>
    </row>
    <row r="956" ht="13.5" customHeight="1" spans="1:30" x14ac:dyDescent="0.25">
      <c r="A956" s="4"/>
      <c r="B956" s="4"/>
      <c r="E956" s="4"/>
      <c r="F956" s="4"/>
      <c r="G956" s="4"/>
      <c r="H956" s="4"/>
      <c r="I956" s="4"/>
      <c r="J956" s="4"/>
      <c r="K956" s="4"/>
      <c r="L956" s="4"/>
      <c r="M956" s="4"/>
      <c r="N956" s="4"/>
      <c r="O956" s="4"/>
      <c r="P956" s="4"/>
      <c r="T956" s="4"/>
      <c r="U956" s="4"/>
      <c r="V956" s="4"/>
      <c r="W956" s="4"/>
      <c r="X956" s="4"/>
      <c r="Y956" s="4"/>
      <c r="Z956" s="4"/>
      <c r="AA956" s="4"/>
      <c r="AB956" s="4"/>
      <c r="AC956" s="4"/>
      <c r="AD956" s="4"/>
    </row>
    <row r="957" ht="13.5" customHeight="1" spans="1:30" x14ac:dyDescent="0.25">
      <c r="A957" s="4"/>
      <c r="B957" s="4"/>
      <c r="E957" s="4"/>
      <c r="F957" s="4"/>
      <c r="G957" s="4"/>
      <c r="H957" s="4"/>
      <c r="I957" s="4"/>
      <c r="J957" s="4"/>
      <c r="K957" s="4"/>
      <c r="L957" s="4"/>
      <c r="M957" s="4"/>
      <c r="N957" s="4"/>
      <c r="O957" s="4"/>
      <c r="P957" s="4"/>
      <c r="T957" s="4"/>
      <c r="U957" s="4"/>
      <c r="V957" s="4"/>
      <c r="W957" s="4"/>
      <c r="X957" s="4"/>
      <c r="Y957" s="4"/>
      <c r="Z957" s="4"/>
      <c r="AA957" s="4"/>
      <c r="AB957" s="4"/>
      <c r="AC957" s="4"/>
      <c r="AD957" s="4"/>
    </row>
    <row r="958" ht="13.5" customHeight="1" spans="1:30" x14ac:dyDescent="0.25">
      <c r="A958" s="4"/>
      <c r="B958" s="4"/>
      <c r="E958" s="4"/>
      <c r="F958" s="4"/>
      <c r="G958" s="4"/>
      <c r="H958" s="4"/>
      <c r="I958" s="4"/>
      <c r="J958" s="4"/>
      <c r="K958" s="4"/>
      <c r="L958" s="4"/>
      <c r="M958" s="4"/>
      <c r="N958" s="4"/>
      <c r="O958" s="4"/>
      <c r="P958" s="4"/>
      <c r="T958" s="4"/>
      <c r="U958" s="4"/>
      <c r="V958" s="4"/>
      <c r="W958" s="4"/>
      <c r="X958" s="4"/>
      <c r="Y958" s="4"/>
      <c r="Z958" s="4"/>
      <c r="AA958" s="4"/>
      <c r="AB958" s="4"/>
      <c r="AC958" s="4"/>
      <c r="AD958" s="4"/>
    </row>
    <row r="959" ht="13.5" customHeight="1" spans="1:30" x14ac:dyDescent="0.25">
      <c r="A959" s="4"/>
      <c r="B959" s="4"/>
      <c r="E959" s="4"/>
      <c r="F959" s="4"/>
      <c r="G959" s="4"/>
      <c r="H959" s="4"/>
      <c r="I959" s="4"/>
      <c r="J959" s="4"/>
      <c r="K959" s="4"/>
      <c r="L959" s="4"/>
      <c r="M959" s="4"/>
      <c r="N959" s="4"/>
      <c r="O959" s="4"/>
      <c r="P959" s="4"/>
      <c r="T959" s="4"/>
      <c r="U959" s="4"/>
      <c r="V959" s="4"/>
      <c r="W959" s="4"/>
      <c r="X959" s="4"/>
      <c r="Y959" s="4"/>
      <c r="Z959" s="4"/>
      <c r="AA959" s="4"/>
      <c r="AB959" s="4"/>
      <c r="AC959" s="4"/>
      <c r="AD959" s="4"/>
    </row>
    <row r="960" ht="13.5" customHeight="1" spans="1:30" x14ac:dyDescent="0.25">
      <c r="A960" s="4"/>
      <c r="B960" s="4"/>
      <c r="E960" s="4"/>
      <c r="F960" s="4"/>
      <c r="G960" s="4"/>
      <c r="H960" s="4"/>
      <c r="I960" s="4"/>
      <c r="J960" s="4"/>
      <c r="K960" s="4"/>
      <c r="L960" s="4"/>
      <c r="M960" s="4"/>
      <c r="N960" s="4"/>
      <c r="O960" s="4"/>
      <c r="P960" s="4"/>
      <c r="T960" s="4"/>
      <c r="U960" s="4"/>
      <c r="V960" s="4"/>
      <c r="W960" s="4"/>
      <c r="X960" s="4"/>
      <c r="Y960" s="4"/>
      <c r="Z960" s="4"/>
      <c r="AA960" s="4"/>
      <c r="AB960" s="4"/>
      <c r="AC960" s="4"/>
      <c r="AD960" s="4"/>
    </row>
    <row r="961" ht="13.5" customHeight="1" spans="1:30" x14ac:dyDescent="0.25">
      <c r="A961" s="4"/>
      <c r="B961" s="4"/>
      <c r="E961" s="4"/>
      <c r="F961" s="4"/>
      <c r="G961" s="4"/>
      <c r="H961" s="4"/>
      <c r="I961" s="4"/>
      <c r="J961" s="4"/>
      <c r="K961" s="4"/>
      <c r="L961" s="4"/>
      <c r="M961" s="4"/>
      <c r="N961" s="4"/>
      <c r="O961" s="4"/>
      <c r="P961" s="4"/>
      <c r="T961" s="4"/>
      <c r="U961" s="4"/>
      <c r="V961" s="4"/>
      <c r="W961" s="4"/>
      <c r="X961" s="4"/>
      <c r="Y961" s="4"/>
      <c r="Z961" s="4"/>
      <c r="AA961" s="4"/>
      <c r="AB961" s="4"/>
      <c r="AC961" s="4"/>
      <c r="AD961" s="4"/>
    </row>
    <row r="962" ht="13.5" customHeight="1" spans="1:30" x14ac:dyDescent="0.25">
      <c r="A962" s="4"/>
      <c r="B962" s="4"/>
      <c r="E962" s="4"/>
      <c r="F962" s="4"/>
      <c r="G962" s="4"/>
      <c r="H962" s="4"/>
      <c r="I962" s="4"/>
      <c r="J962" s="4"/>
      <c r="K962" s="4"/>
      <c r="L962" s="4"/>
      <c r="M962" s="4"/>
      <c r="N962" s="4"/>
      <c r="O962" s="4"/>
      <c r="P962" s="4"/>
      <c r="T962" s="4"/>
      <c r="U962" s="4"/>
      <c r="V962" s="4"/>
      <c r="W962" s="4"/>
      <c r="X962" s="4"/>
      <c r="Y962" s="4"/>
      <c r="Z962" s="4"/>
      <c r="AA962" s="4"/>
      <c r="AB962" s="4"/>
      <c r="AC962" s="4"/>
      <c r="AD962" s="4"/>
    </row>
    <row r="963" ht="13.5" customHeight="1" spans="1:30" x14ac:dyDescent="0.25">
      <c r="A963" s="4"/>
      <c r="B963" s="4"/>
      <c r="E963" s="4"/>
      <c r="F963" s="4"/>
      <c r="G963" s="4"/>
      <c r="H963" s="4"/>
      <c r="I963" s="4"/>
      <c r="J963" s="4"/>
      <c r="K963" s="4"/>
      <c r="L963" s="4"/>
      <c r="M963" s="4"/>
      <c r="N963" s="4"/>
      <c r="O963" s="4"/>
      <c r="P963" s="4"/>
      <c r="T963" s="4"/>
      <c r="U963" s="4"/>
      <c r="V963" s="4"/>
      <c r="W963" s="4"/>
      <c r="X963" s="4"/>
      <c r="Y963" s="4"/>
      <c r="Z963" s="4"/>
      <c r="AA963" s="4"/>
      <c r="AB963" s="4"/>
      <c r="AC963" s="4"/>
      <c r="AD963" s="4"/>
    </row>
    <row r="964" ht="13.5" customHeight="1" spans="1:30" x14ac:dyDescent="0.25">
      <c r="A964" s="4"/>
      <c r="B964" s="4"/>
      <c r="E964" s="4"/>
      <c r="F964" s="4"/>
      <c r="G964" s="4"/>
      <c r="H964" s="4"/>
      <c r="I964" s="4"/>
      <c r="J964" s="4"/>
      <c r="K964" s="4"/>
      <c r="L964" s="4"/>
      <c r="M964" s="4"/>
      <c r="N964" s="4"/>
      <c r="O964" s="4"/>
      <c r="P964" s="4"/>
      <c r="T964" s="4"/>
      <c r="U964" s="4"/>
      <c r="V964" s="4"/>
      <c r="W964" s="4"/>
      <c r="X964" s="4"/>
      <c r="Y964" s="4"/>
      <c r="Z964" s="4"/>
      <c r="AA964" s="4"/>
      <c r="AB964" s="4"/>
      <c r="AC964" s="4"/>
      <c r="AD964" s="4"/>
    </row>
    <row r="965" ht="13.5" customHeight="1" spans="1:30" x14ac:dyDescent="0.25">
      <c r="A965" s="4"/>
      <c r="B965" s="4"/>
      <c r="E965" s="4"/>
      <c r="F965" s="4"/>
      <c r="G965" s="4"/>
      <c r="H965" s="4"/>
      <c r="I965" s="4"/>
      <c r="J965" s="4"/>
      <c r="K965" s="4"/>
      <c r="L965" s="4"/>
      <c r="M965" s="4"/>
      <c r="N965" s="4"/>
      <c r="O965" s="4"/>
      <c r="P965" s="4"/>
      <c r="T965" s="4"/>
      <c r="U965" s="4"/>
      <c r="V965" s="4"/>
      <c r="W965" s="4"/>
      <c r="X965" s="4"/>
      <c r="Y965" s="4"/>
      <c r="Z965" s="4"/>
      <c r="AA965" s="4"/>
      <c r="AB965" s="4"/>
      <c r="AC965" s="4"/>
      <c r="AD965" s="4"/>
    </row>
    <row r="966" ht="13.5" customHeight="1" spans="1:30" x14ac:dyDescent="0.25">
      <c r="A966" s="4"/>
      <c r="B966" s="4"/>
      <c r="E966" s="4"/>
      <c r="F966" s="4"/>
      <c r="G966" s="4"/>
      <c r="H966" s="4"/>
      <c r="I966" s="4"/>
      <c r="J966" s="4"/>
      <c r="K966" s="4"/>
      <c r="L966" s="4"/>
      <c r="M966" s="4"/>
      <c r="N966" s="4"/>
      <c r="O966" s="4"/>
      <c r="P966" s="4"/>
      <c r="T966" s="4"/>
      <c r="U966" s="4"/>
      <c r="V966" s="4"/>
      <c r="W966" s="4"/>
      <c r="X966" s="4"/>
      <c r="Y966" s="4"/>
      <c r="Z966" s="4"/>
      <c r="AA966" s="4"/>
      <c r="AB966" s="4"/>
      <c r="AC966" s="4"/>
      <c r="AD966" s="4"/>
    </row>
    <row r="967" ht="13.5" customHeight="1" spans="1:30" x14ac:dyDescent="0.25">
      <c r="A967" s="4"/>
      <c r="B967" s="4"/>
      <c r="E967" s="4"/>
      <c r="F967" s="4"/>
      <c r="G967" s="4"/>
      <c r="H967" s="4"/>
      <c r="I967" s="4"/>
      <c r="J967" s="4"/>
      <c r="K967" s="4"/>
      <c r="L967" s="4"/>
      <c r="M967" s="4"/>
      <c r="N967" s="4"/>
      <c r="O967" s="4"/>
      <c r="P967" s="4"/>
      <c r="T967" s="4"/>
      <c r="U967" s="4"/>
      <c r="V967" s="4"/>
      <c r="W967" s="4"/>
      <c r="X967" s="4"/>
      <c r="Y967" s="4"/>
      <c r="Z967" s="4"/>
      <c r="AA967" s="4"/>
      <c r="AB967" s="4"/>
      <c r="AC967" s="4"/>
      <c r="AD967" s="4"/>
    </row>
    <row r="968" ht="13.5" customHeight="1" spans="1:30" x14ac:dyDescent="0.25">
      <c r="A968" s="4"/>
      <c r="B968" s="4"/>
      <c r="E968" s="4"/>
      <c r="F968" s="4"/>
      <c r="G968" s="4"/>
      <c r="H968" s="4"/>
      <c r="I968" s="4"/>
      <c r="J968" s="4"/>
      <c r="K968" s="4"/>
      <c r="L968" s="4"/>
      <c r="M968" s="4"/>
      <c r="N968" s="4"/>
      <c r="O968" s="4"/>
      <c r="P968" s="4"/>
      <c r="T968" s="4"/>
      <c r="U968" s="4"/>
      <c r="V968" s="4"/>
      <c r="W968" s="4"/>
      <c r="X968" s="4"/>
      <c r="Y968" s="4"/>
      <c r="Z968" s="4"/>
      <c r="AA968" s="4"/>
      <c r="AB968" s="4"/>
      <c r="AC968" s="4"/>
      <c r="AD968" s="4"/>
    </row>
    <row r="969" ht="13.5" customHeight="1" spans="1:30" x14ac:dyDescent="0.25">
      <c r="A969" s="4"/>
      <c r="B969" s="4"/>
      <c r="E969" s="4"/>
      <c r="F969" s="4"/>
      <c r="G969" s="4"/>
      <c r="H969" s="4"/>
      <c r="I969" s="4"/>
      <c r="J969" s="4"/>
      <c r="K969" s="4"/>
      <c r="L969" s="4"/>
      <c r="M969" s="4"/>
      <c r="N969" s="4"/>
      <c r="O969" s="4"/>
      <c r="P969" s="4"/>
      <c r="T969" s="4"/>
      <c r="U969" s="4"/>
      <c r="V969" s="4"/>
      <c r="W969" s="4"/>
      <c r="X969" s="4"/>
      <c r="Y969" s="4"/>
      <c r="Z969" s="4"/>
      <c r="AA969" s="4"/>
      <c r="AB969" s="4"/>
      <c r="AC969" s="4"/>
      <c r="AD969" s="4"/>
    </row>
    <row r="970" ht="13.5" customHeight="1" spans="1:30" x14ac:dyDescent="0.25">
      <c r="A970" s="4"/>
      <c r="B970" s="4"/>
      <c r="E970" s="4"/>
      <c r="F970" s="4"/>
      <c r="G970" s="4"/>
      <c r="H970" s="4"/>
      <c r="I970" s="4"/>
      <c r="J970" s="4"/>
      <c r="K970" s="4"/>
      <c r="L970" s="4"/>
      <c r="M970" s="4"/>
      <c r="N970" s="4"/>
      <c r="O970" s="4"/>
      <c r="P970" s="4"/>
      <c r="T970" s="4"/>
      <c r="U970" s="4"/>
      <c r="V970" s="4"/>
      <c r="W970" s="4"/>
      <c r="X970" s="4"/>
      <c r="Y970" s="4"/>
      <c r="Z970" s="4"/>
      <c r="AA970" s="4"/>
      <c r="AB970" s="4"/>
      <c r="AC970" s="4"/>
      <c r="AD970" s="4"/>
    </row>
    <row r="971" ht="13.5" customHeight="1" spans="1:30" x14ac:dyDescent="0.25">
      <c r="A971" s="4"/>
      <c r="B971" s="4"/>
      <c r="E971" s="4"/>
      <c r="F971" s="4"/>
      <c r="G971" s="4"/>
      <c r="H971" s="4"/>
      <c r="I971" s="4"/>
      <c r="J971" s="4"/>
      <c r="K971" s="4"/>
      <c r="L971" s="4"/>
      <c r="M971" s="4"/>
      <c r="N971" s="4"/>
      <c r="O971" s="4"/>
      <c r="P971" s="4"/>
      <c r="T971" s="4"/>
      <c r="U971" s="4"/>
      <c r="V971" s="4"/>
      <c r="W971" s="4"/>
      <c r="X971" s="4"/>
      <c r="Y971" s="4"/>
      <c r="Z971" s="4"/>
      <c r="AA971" s="4"/>
      <c r="AB971" s="4"/>
      <c r="AC971" s="4"/>
      <c r="AD971" s="4"/>
    </row>
    <row r="972" ht="13.5" customHeight="1" spans="1:30" x14ac:dyDescent="0.25">
      <c r="A972" s="4"/>
      <c r="B972" s="4"/>
      <c r="E972" s="4"/>
      <c r="F972" s="4"/>
      <c r="G972" s="4"/>
      <c r="H972" s="4"/>
      <c r="I972" s="4"/>
      <c r="J972" s="4"/>
      <c r="K972" s="4"/>
      <c r="L972" s="4"/>
      <c r="M972" s="4"/>
      <c r="N972" s="4"/>
      <c r="O972" s="4"/>
      <c r="P972" s="4"/>
      <c r="T972" s="4"/>
      <c r="U972" s="4"/>
      <c r="V972" s="4"/>
      <c r="W972" s="4"/>
      <c r="X972" s="4"/>
      <c r="Y972" s="4"/>
      <c r="Z972" s="4"/>
      <c r="AA972" s="4"/>
      <c r="AB972" s="4"/>
      <c r="AC972" s="4"/>
      <c r="AD972" s="4"/>
    </row>
    <row r="973" ht="13.5" customHeight="1" spans="1:30" x14ac:dyDescent="0.25">
      <c r="A973" s="4"/>
      <c r="B973" s="4"/>
      <c r="E973" s="4"/>
      <c r="F973" s="4"/>
      <c r="G973" s="4"/>
      <c r="H973" s="4"/>
      <c r="I973" s="4"/>
      <c r="J973" s="4"/>
      <c r="K973" s="4"/>
      <c r="L973" s="4"/>
      <c r="M973" s="4"/>
      <c r="N973" s="4"/>
      <c r="O973" s="4"/>
      <c r="P973" s="4"/>
      <c r="T973" s="4"/>
      <c r="U973" s="4"/>
      <c r="V973" s="4"/>
      <c r="W973" s="4"/>
      <c r="X973" s="4"/>
      <c r="Y973" s="4"/>
      <c r="Z973" s="4"/>
      <c r="AA973" s="4"/>
      <c r="AB973" s="4"/>
      <c r="AC973" s="4"/>
      <c r="AD973" s="4"/>
    </row>
    <row r="974" ht="13.5" customHeight="1" spans="1:30" x14ac:dyDescent="0.25">
      <c r="A974" s="4"/>
      <c r="B974" s="4"/>
      <c r="E974" s="4"/>
      <c r="F974" s="4"/>
      <c r="G974" s="4"/>
      <c r="H974" s="4"/>
      <c r="I974" s="4"/>
      <c r="J974" s="4"/>
      <c r="K974" s="4"/>
      <c r="L974" s="4"/>
      <c r="M974" s="4"/>
      <c r="N974" s="4"/>
      <c r="O974" s="4"/>
      <c r="P974" s="4"/>
      <c r="T974" s="4"/>
      <c r="U974" s="4"/>
      <c r="V974" s="4"/>
      <c r="W974" s="4"/>
      <c r="X974" s="4"/>
      <c r="Y974" s="4"/>
      <c r="Z974" s="4"/>
      <c r="AA974" s="4"/>
      <c r="AB974" s="4"/>
      <c r="AC974" s="4"/>
      <c r="AD974" s="4"/>
    </row>
    <row r="975" ht="13.5" customHeight="1" spans="1:30" x14ac:dyDescent="0.25">
      <c r="A975" s="4"/>
      <c r="B975" s="4"/>
      <c r="E975" s="4"/>
      <c r="F975" s="4"/>
      <c r="G975" s="4"/>
      <c r="H975" s="4"/>
      <c r="I975" s="4"/>
      <c r="J975" s="4"/>
      <c r="K975" s="4"/>
      <c r="L975" s="4"/>
      <c r="M975" s="4"/>
      <c r="N975" s="4"/>
      <c r="O975" s="4"/>
      <c r="P975" s="4"/>
      <c r="T975" s="4"/>
      <c r="U975" s="4"/>
      <c r="V975" s="4"/>
      <c r="W975" s="4"/>
      <c r="X975" s="4"/>
      <c r="Y975" s="4"/>
      <c r="Z975" s="4"/>
      <c r="AA975" s="4"/>
      <c r="AB975" s="4"/>
      <c r="AC975" s="4"/>
      <c r="AD975" s="4"/>
    </row>
    <row r="976" ht="13.5" customHeight="1" spans="1:30" x14ac:dyDescent="0.25">
      <c r="A976" s="4"/>
      <c r="B976" s="4"/>
      <c r="E976" s="4"/>
      <c r="F976" s="4"/>
      <c r="G976" s="4"/>
      <c r="H976" s="4"/>
      <c r="I976" s="4"/>
      <c r="J976" s="4"/>
      <c r="K976" s="4"/>
      <c r="L976" s="4"/>
      <c r="M976" s="4"/>
      <c r="N976" s="4"/>
      <c r="O976" s="4"/>
      <c r="P976" s="4"/>
      <c r="T976" s="4"/>
      <c r="U976" s="4"/>
      <c r="V976" s="4"/>
      <c r="W976" s="4"/>
      <c r="X976" s="4"/>
      <c r="Y976" s="4"/>
      <c r="Z976" s="4"/>
      <c r="AA976" s="4"/>
      <c r="AB976" s="4"/>
      <c r="AC976" s="4"/>
      <c r="AD976" s="4"/>
    </row>
    <row r="977" ht="13.5" customHeight="1" spans="1:30" x14ac:dyDescent="0.25">
      <c r="A977" s="4"/>
      <c r="B977" s="4"/>
      <c r="E977" s="4"/>
      <c r="F977" s="4"/>
      <c r="G977" s="4"/>
      <c r="H977" s="4"/>
      <c r="I977" s="4"/>
      <c r="J977" s="4"/>
      <c r="K977" s="4"/>
      <c r="L977" s="4"/>
      <c r="M977" s="4"/>
      <c r="N977" s="4"/>
      <c r="O977" s="4"/>
      <c r="P977" s="4"/>
      <c r="T977" s="4"/>
      <c r="U977" s="4"/>
      <c r="V977" s="4"/>
      <c r="W977" s="4"/>
      <c r="X977" s="4"/>
      <c r="Y977" s="4"/>
      <c r="Z977" s="4"/>
      <c r="AA977" s="4"/>
      <c r="AB977" s="4"/>
      <c r="AC977" s="4"/>
      <c r="AD977" s="4"/>
    </row>
    <row r="978" ht="13.5" customHeight="1" spans="1:30" x14ac:dyDescent="0.25">
      <c r="A978" s="4"/>
      <c r="B978" s="4"/>
      <c r="E978" s="4"/>
      <c r="F978" s="4"/>
      <c r="G978" s="4"/>
      <c r="H978" s="4"/>
      <c r="I978" s="4"/>
      <c r="J978" s="4"/>
      <c r="K978" s="4"/>
      <c r="L978" s="4"/>
      <c r="M978" s="4"/>
      <c r="N978" s="4"/>
      <c r="O978" s="4"/>
      <c r="P978" s="4"/>
      <c r="T978" s="4"/>
      <c r="U978" s="4"/>
      <c r="V978" s="4"/>
      <c r="W978" s="4"/>
      <c r="X978" s="4"/>
      <c r="Y978" s="4"/>
      <c r="Z978" s="4"/>
      <c r="AA978" s="4"/>
      <c r="AB978" s="4"/>
      <c r="AC978" s="4"/>
      <c r="AD978" s="4"/>
    </row>
    <row r="979" ht="13.5" customHeight="1" spans="1:30" x14ac:dyDescent="0.25">
      <c r="A979" s="4"/>
      <c r="B979" s="4"/>
      <c r="E979" s="4"/>
      <c r="F979" s="4"/>
      <c r="G979" s="4"/>
      <c r="H979" s="4"/>
      <c r="I979" s="4"/>
      <c r="J979" s="4"/>
      <c r="K979" s="4"/>
      <c r="L979" s="4"/>
      <c r="M979" s="4"/>
      <c r="N979" s="4"/>
      <c r="O979" s="4"/>
      <c r="P979" s="4"/>
      <c r="T979" s="4"/>
      <c r="U979" s="4"/>
      <c r="V979" s="4"/>
      <c r="W979" s="4"/>
      <c r="X979" s="4"/>
      <c r="Y979" s="4"/>
      <c r="Z979" s="4"/>
      <c r="AA979" s="4"/>
      <c r="AB979" s="4"/>
      <c r="AC979" s="4"/>
      <c r="AD979" s="4"/>
    </row>
    <row r="980" ht="13.5" customHeight="1" spans="1:30" x14ac:dyDescent="0.25">
      <c r="A980" s="4"/>
      <c r="B980" s="4"/>
      <c r="E980" s="4"/>
      <c r="F980" s="4"/>
      <c r="G980" s="4"/>
      <c r="H980" s="4"/>
      <c r="I980" s="4"/>
      <c r="J980" s="4"/>
      <c r="K980" s="4"/>
      <c r="L980" s="4"/>
      <c r="M980" s="4"/>
      <c r="N980" s="4"/>
      <c r="O980" s="4"/>
      <c r="P980" s="4"/>
      <c r="T980" s="4"/>
      <c r="U980" s="4"/>
      <c r="V980" s="4"/>
      <c r="W980" s="4"/>
      <c r="X980" s="4"/>
      <c r="Y980" s="4"/>
      <c r="Z980" s="4"/>
      <c r="AA980" s="4"/>
      <c r="AB980" s="4"/>
      <c r="AC980" s="4"/>
      <c r="AD980" s="4"/>
    </row>
    <row r="981" ht="13.5" customHeight="1" spans="1:30" x14ac:dyDescent="0.25">
      <c r="A981" s="4"/>
      <c r="B981" s="4"/>
      <c r="E981" s="4"/>
      <c r="F981" s="4"/>
      <c r="G981" s="4"/>
      <c r="H981" s="4"/>
      <c r="I981" s="4"/>
      <c r="J981" s="4"/>
      <c r="K981" s="4"/>
      <c r="L981" s="4"/>
      <c r="M981" s="4"/>
      <c r="N981" s="4"/>
      <c r="O981" s="4"/>
      <c r="P981" s="4"/>
      <c r="T981" s="4"/>
      <c r="U981" s="4"/>
      <c r="V981" s="4"/>
      <c r="W981" s="4"/>
      <c r="X981" s="4"/>
      <c r="Y981" s="4"/>
      <c r="Z981" s="4"/>
      <c r="AA981" s="4"/>
      <c r="AB981" s="4"/>
      <c r="AC981" s="4"/>
      <c r="AD981" s="4"/>
    </row>
    <row r="982" ht="13.5" customHeight="1" spans="1:30" x14ac:dyDescent="0.25">
      <c r="A982" s="4"/>
      <c r="B982" s="4"/>
      <c r="E982" s="4"/>
      <c r="F982" s="4"/>
      <c r="G982" s="4"/>
      <c r="H982" s="4"/>
      <c r="I982" s="4"/>
      <c r="J982" s="4"/>
      <c r="K982" s="4"/>
      <c r="L982" s="4"/>
      <c r="M982" s="4"/>
      <c r="N982" s="4"/>
      <c r="O982" s="4"/>
      <c r="P982" s="4"/>
      <c r="T982" s="4"/>
      <c r="U982" s="4"/>
      <c r="V982" s="4"/>
      <c r="W982" s="4"/>
      <c r="X982" s="4"/>
      <c r="Y982" s="4"/>
      <c r="Z982" s="4"/>
      <c r="AA982" s="4"/>
      <c r="AB982" s="4"/>
      <c r="AC982" s="4"/>
      <c r="AD982" s="4"/>
    </row>
    <row r="983" ht="13.5" customHeight="1" spans="1:30" x14ac:dyDescent="0.25">
      <c r="A983" s="4"/>
      <c r="B983" s="4"/>
      <c r="E983" s="4"/>
      <c r="F983" s="4"/>
      <c r="G983" s="4"/>
      <c r="H983" s="4"/>
      <c r="I983" s="4"/>
      <c r="J983" s="4"/>
      <c r="K983" s="4"/>
      <c r="L983" s="4"/>
      <c r="M983" s="4"/>
      <c r="N983" s="4"/>
      <c r="O983" s="4"/>
      <c r="P983" s="4"/>
      <c r="T983" s="4"/>
      <c r="U983" s="4"/>
      <c r="V983" s="4"/>
      <c r="W983" s="4"/>
      <c r="X983" s="4"/>
      <c r="Y983" s="4"/>
      <c r="Z983" s="4"/>
      <c r="AA983" s="4"/>
      <c r="AB983" s="4"/>
      <c r="AC983" s="4"/>
      <c r="AD983" s="4"/>
    </row>
    <row r="984" ht="13.5" customHeight="1" spans="1:30" x14ac:dyDescent="0.25">
      <c r="A984" s="4"/>
      <c r="B984" s="4"/>
      <c r="E984" s="4"/>
      <c r="F984" s="4"/>
      <c r="G984" s="4"/>
      <c r="H984" s="4"/>
      <c r="I984" s="4"/>
      <c r="J984" s="4"/>
      <c r="K984" s="4"/>
      <c r="L984" s="4"/>
      <c r="M984" s="4"/>
      <c r="N984" s="4"/>
      <c r="O984" s="4"/>
      <c r="P984" s="4"/>
      <c r="T984" s="4"/>
      <c r="U984" s="4"/>
      <c r="V984" s="4"/>
      <c r="W984" s="4"/>
      <c r="X984" s="4"/>
      <c r="Y984" s="4"/>
      <c r="Z984" s="4"/>
      <c r="AA984" s="4"/>
      <c r="AB984" s="4"/>
      <c r="AC984" s="4"/>
      <c r="AD984" s="4"/>
    </row>
    <row r="985" ht="13.5" customHeight="1" spans="1:30" x14ac:dyDescent="0.25">
      <c r="A985" s="4"/>
      <c r="B985" s="4"/>
      <c r="E985" s="4"/>
      <c r="F985" s="4"/>
      <c r="G985" s="4"/>
      <c r="H985" s="4"/>
      <c r="I985" s="4"/>
      <c r="J985" s="4"/>
      <c r="K985" s="4"/>
      <c r="L985" s="4"/>
      <c r="M985" s="4"/>
      <c r="N985" s="4"/>
      <c r="O985" s="4"/>
      <c r="P985" s="4"/>
      <c r="T985" s="4"/>
      <c r="U985" s="4"/>
      <c r="V985" s="4"/>
      <c r="W985" s="4"/>
      <c r="X985" s="4"/>
      <c r="Y985" s="4"/>
      <c r="Z985" s="4"/>
      <c r="AA985" s="4"/>
      <c r="AB985" s="4"/>
      <c r="AC985" s="4"/>
      <c r="AD985" s="4"/>
    </row>
    <row r="986" ht="13.5" customHeight="1" spans="1:30" x14ac:dyDescent="0.25">
      <c r="A986" s="4"/>
      <c r="B986" s="4"/>
      <c r="E986" s="4"/>
      <c r="F986" s="4"/>
      <c r="G986" s="4"/>
      <c r="H986" s="4"/>
      <c r="I986" s="4"/>
      <c r="J986" s="4"/>
      <c r="K986" s="4"/>
      <c r="L986" s="4"/>
      <c r="M986" s="4"/>
      <c r="N986" s="4"/>
      <c r="O986" s="4"/>
      <c r="P986" s="4"/>
      <c r="T986" s="4"/>
      <c r="U986" s="4"/>
      <c r="V986" s="4"/>
      <c r="W986" s="4"/>
      <c r="X986" s="4"/>
      <c r="Y986" s="4"/>
      <c r="Z986" s="4"/>
      <c r="AA986" s="4"/>
      <c r="AB986" s="4"/>
      <c r="AC986" s="4"/>
      <c r="AD986" s="4"/>
    </row>
    <row r="987" ht="13.5" customHeight="1" spans="1:30" x14ac:dyDescent="0.25">
      <c r="A987" s="4"/>
      <c r="B987" s="4"/>
      <c r="E987" s="4"/>
      <c r="F987" s="4"/>
      <c r="G987" s="4"/>
      <c r="H987" s="4"/>
      <c r="I987" s="4"/>
      <c r="J987" s="4"/>
      <c r="K987" s="4"/>
      <c r="L987" s="4"/>
      <c r="M987" s="4"/>
      <c r="N987" s="4"/>
      <c r="O987" s="4"/>
      <c r="P987" s="4"/>
      <c r="T987" s="4"/>
      <c r="U987" s="4"/>
      <c r="V987" s="4"/>
      <c r="W987" s="4"/>
      <c r="X987" s="4"/>
      <c r="Y987" s="4"/>
      <c r="Z987" s="4"/>
      <c r="AA987" s="4"/>
      <c r="AB987" s="4"/>
      <c r="AC987" s="4"/>
      <c r="AD987" s="4"/>
    </row>
    <row r="988" ht="13.5" customHeight="1" spans="1:30" x14ac:dyDescent="0.25">
      <c r="A988" s="4"/>
      <c r="B988" s="4"/>
      <c r="E988" s="4"/>
      <c r="F988" s="4"/>
      <c r="G988" s="4"/>
      <c r="H988" s="4"/>
      <c r="I988" s="4"/>
      <c r="J988" s="4"/>
      <c r="K988" s="4"/>
      <c r="L988" s="4"/>
      <c r="M988" s="4"/>
      <c r="N988" s="4"/>
      <c r="O988" s="4"/>
      <c r="P988" s="4"/>
      <c r="T988" s="4"/>
      <c r="U988" s="4"/>
      <c r="V988" s="4"/>
      <c r="W988" s="4"/>
      <c r="X988" s="4"/>
      <c r="Y988" s="4"/>
      <c r="Z988" s="4"/>
      <c r="AA988" s="4"/>
      <c r="AB988" s="4"/>
      <c r="AC988" s="4"/>
      <c r="AD988" s="4"/>
    </row>
    <row r="989" ht="13.5" customHeight="1" spans="1:30" x14ac:dyDescent="0.25">
      <c r="A989" s="4"/>
      <c r="B989" s="4"/>
      <c r="E989" s="4"/>
      <c r="F989" s="4"/>
      <c r="G989" s="4"/>
      <c r="H989" s="4"/>
      <c r="I989" s="4"/>
      <c r="J989" s="4"/>
      <c r="K989" s="4"/>
      <c r="L989" s="4"/>
      <c r="M989" s="4"/>
      <c r="N989" s="4"/>
      <c r="O989" s="4"/>
      <c r="P989" s="4"/>
      <c r="T989" s="4"/>
      <c r="U989" s="4"/>
      <c r="V989" s="4"/>
      <c r="W989" s="4"/>
      <c r="X989" s="4"/>
      <c r="Y989" s="4"/>
      <c r="Z989" s="4"/>
      <c r="AA989" s="4"/>
      <c r="AB989" s="4"/>
      <c r="AC989" s="4"/>
      <c r="AD989" s="4"/>
    </row>
    <row r="990" ht="13.5" customHeight="1" spans="1:30" x14ac:dyDescent="0.25">
      <c r="A990" s="4"/>
      <c r="B990" s="4"/>
      <c r="E990" s="4"/>
      <c r="F990" s="4"/>
      <c r="G990" s="4"/>
      <c r="H990" s="4"/>
      <c r="I990" s="4"/>
      <c r="J990" s="4"/>
      <c r="K990" s="4"/>
      <c r="L990" s="4"/>
      <c r="M990" s="4"/>
      <c r="N990" s="4"/>
      <c r="O990" s="4"/>
      <c r="P990" s="4"/>
      <c r="T990" s="4"/>
      <c r="U990" s="4"/>
      <c r="V990" s="4"/>
      <c r="W990" s="4"/>
      <c r="X990" s="4"/>
      <c r="Y990" s="4"/>
      <c r="Z990" s="4"/>
      <c r="AA990" s="4"/>
      <c r="AB990" s="4"/>
      <c r="AC990" s="4"/>
      <c r="AD990" s="4"/>
    </row>
    <row r="991" ht="13.5" customHeight="1" spans="1:30" x14ac:dyDescent="0.25">
      <c r="A991" s="4"/>
      <c r="B991" s="4"/>
      <c r="E991" s="4"/>
      <c r="F991" s="4"/>
      <c r="G991" s="4"/>
      <c r="H991" s="4"/>
      <c r="I991" s="4"/>
      <c r="J991" s="4"/>
      <c r="K991" s="4"/>
      <c r="L991" s="4"/>
      <c r="M991" s="4"/>
      <c r="N991" s="4"/>
      <c r="O991" s="4"/>
      <c r="P991" s="4"/>
      <c r="T991" s="4"/>
      <c r="U991" s="4"/>
      <c r="V991" s="4"/>
      <c r="W991" s="4"/>
      <c r="X991" s="4"/>
      <c r="Y991" s="4"/>
      <c r="Z991" s="4"/>
      <c r="AA991" s="4"/>
      <c r="AB991" s="4"/>
      <c r="AC991" s="4"/>
      <c r="AD991" s="4"/>
    </row>
    <row r="992" ht="13.5" customHeight="1" spans="1:30" x14ac:dyDescent="0.25">
      <c r="A992" s="4"/>
      <c r="B992" s="4"/>
      <c r="E992" s="4"/>
      <c r="F992" s="4"/>
      <c r="G992" s="4"/>
      <c r="H992" s="4"/>
      <c r="I992" s="4"/>
      <c r="J992" s="4"/>
      <c r="K992" s="4"/>
      <c r="L992" s="4"/>
      <c r="M992" s="4"/>
      <c r="N992" s="4"/>
      <c r="O992" s="4"/>
      <c r="P992" s="4"/>
      <c r="T992" s="4"/>
      <c r="U992" s="4"/>
      <c r="V992" s="4"/>
      <c r="W992" s="4"/>
      <c r="X992" s="4"/>
      <c r="Y992" s="4"/>
      <c r="Z992" s="4"/>
      <c r="AA992" s="4"/>
      <c r="AB992" s="4"/>
      <c r="AC992" s="4"/>
      <c r="AD992" s="4"/>
    </row>
    <row r="993" ht="13.5" customHeight="1" spans="1:30" x14ac:dyDescent="0.25">
      <c r="A993" s="4"/>
      <c r="B993" s="4"/>
      <c r="E993" s="4"/>
      <c r="F993" s="4"/>
      <c r="G993" s="4"/>
      <c r="H993" s="4"/>
      <c r="I993" s="4"/>
      <c r="J993" s="4"/>
      <c r="K993" s="4"/>
      <c r="L993" s="4"/>
      <c r="M993" s="4"/>
      <c r="N993" s="4"/>
      <c r="O993" s="4"/>
      <c r="P993" s="4"/>
      <c r="T993" s="4"/>
      <c r="U993" s="4"/>
      <c r="V993" s="4"/>
      <c r="W993" s="4"/>
      <c r="X993" s="4"/>
      <c r="Y993" s="4"/>
      <c r="Z993" s="4"/>
      <c r="AA993" s="4"/>
      <c r="AB993" s="4"/>
      <c r="AC993" s="4"/>
      <c r="AD993" s="4"/>
    </row>
    <row r="994" ht="13.5" customHeight="1" spans="1:30" x14ac:dyDescent="0.25">
      <c r="A994" s="4"/>
      <c r="B994" s="4"/>
      <c r="E994" s="4"/>
      <c r="F994" s="4"/>
      <c r="G994" s="4"/>
      <c r="H994" s="4"/>
      <c r="I994" s="4"/>
      <c r="J994" s="4"/>
      <c r="K994" s="4"/>
      <c r="L994" s="4"/>
      <c r="M994" s="4"/>
      <c r="N994" s="4"/>
      <c r="O994" s="4"/>
      <c r="P994" s="4"/>
      <c r="T994" s="4"/>
      <c r="U994" s="4"/>
      <c r="V994" s="4"/>
      <c r="W994" s="4"/>
      <c r="X994" s="4"/>
      <c r="Y994" s="4"/>
      <c r="Z994" s="4"/>
      <c r="AA994" s="4"/>
      <c r="AB994" s="4"/>
      <c r="AC994" s="4"/>
      <c r="AD994" s="4"/>
    </row>
    <row r="995" ht="13.5" customHeight="1" spans="1:30" x14ac:dyDescent="0.25">
      <c r="A995" s="4"/>
      <c r="B995" s="4"/>
      <c r="E995" s="4"/>
      <c r="F995" s="4"/>
      <c r="G995" s="4"/>
      <c r="H995" s="4"/>
      <c r="I995" s="4"/>
      <c r="J995" s="4"/>
      <c r="K995" s="4"/>
      <c r="L995" s="4"/>
      <c r="M995" s="4"/>
      <c r="N995" s="4"/>
      <c r="O995" s="4"/>
      <c r="P995" s="4"/>
      <c r="T995" s="4"/>
      <c r="U995" s="4"/>
      <c r="V995" s="4"/>
      <c r="W995" s="4"/>
      <c r="X995" s="4"/>
      <c r="Y995" s="4"/>
      <c r="Z995" s="4"/>
      <c r="AA995" s="4"/>
      <c r="AB995" s="4"/>
      <c r="AC995" s="4"/>
      <c r="AD995" s="4"/>
    </row>
    <row r="996" ht="13.5" customHeight="1" spans="1:30" x14ac:dyDescent="0.25">
      <c r="A996" s="4"/>
      <c r="B996" s="4"/>
      <c r="E996" s="4"/>
      <c r="F996" s="4"/>
      <c r="G996" s="4"/>
      <c r="H996" s="4"/>
      <c r="I996" s="4"/>
      <c r="J996" s="4"/>
      <c r="K996" s="4"/>
      <c r="L996" s="4"/>
      <c r="M996" s="4"/>
      <c r="N996" s="4"/>
      <c r="O996" s="4"/>
      <c r="P996" s="4"/>
      <c r="T996" s="4"/>
      <c r="U996" s="4"/>
      <c r="V996" s="4"/>
      <c r="W996" s="4"/>
      <c r="X996" s="4"/>
      <c r="Y996" s="4"/>
      <c r="Z996" s="4"/>
      <c r="AA996" s="4"/>
      <c r="AB996" s="4"/>
      <c r="AC996" s="4"/>
      <c r="AD996" s="4"/>
    </row>
    <row r="997" ht="13.5" customHeight="1" spans="1:30" x14ac:dyDescent="0.25">
      <c r="A997" s="4"/>
      <c r="B997" s="4"/>
      <c r="E997" s="4"/>
      <c r="F997" s="4"/>
      <c r="G997" s="4"/>
      <c r="H997" s="4"/>
      <c r="I997" s="4"/>
      <c r="J997" s="4"/>
      <c r="K997" s="4"/>
      <c r="L997" s="4"/>
      <c r="M997" s="4"/>
      <c r="N997" s="4"/>
      <c r="O997" s="4"/>
      <c r="P997" s="4"/>
      <c r="T997" s="4"/>
      <c r="U997" s="4"/>
      <c r="V997" s="4"/>
      <c r="W997" s="4"/>
      <c r="X997" s="4"/>
      <c r="Y997" s="4"/>
      <c r="Z997" s="4"/>
      <c r="AA997" s="4"/>
      <c r="AB997" s="4"/>
      <c r="AC997" s="4"/>
      <c r="AD997" s="4"/>
    </row>
    <row r="998" ht="13.5" customHeight="1" spans="1:30" x14ac:dyDescent="0.25">
      <c r="A998" s="4"/>
      <c r="B998" s="4"/>
      <c r="E998" s="4"/>
      <c r="F998" s="4"/>
      <c r="G998" s="4"/>
      <c r="H998" s="4"/>
      <c r="I998" s="4"/>
      <c r="J998" s="4"/>
      <c r="K998" s="4"/>
      <c r="L998" s="4"/>
      <c r="M998" s="4"/>
      <c r="N998" s="4"/>
      <c r="O998" s="4"/>
      <c r="P998" s="4"/>
      <c r="T998" s="4"/>
      <c r="U998" s="4"/>
      <c r="V998" s="4"/>
      <c r="W998" s="4"/>
      <c r="X998" s="4"/>
      <c r="Y998" s="4"/>
      <c r="Z998" s="4"/>
      <c r="AA998" s="4"/>
      <c r="AB998" s="4"/>
      <c r="AC998" s="4"/>
      <c r="AD998" s="4"/>
    </row>
    <row r="999" ht="13.5" customHeight="1" spans="1:30" x14ac:dyDescent="0.25">
      <c r="A999" s="4"/>
      <c r="B999" s="4"/>
      <c r="E999" s="4"/>
      <c r="F999" s="4"/>
      <c r="G999" s="4"/>
      <c r="H999" s="4"/>
      <c r="I999" s="4"/>
      <c r="J999" s="4"/>
      <c r="K999" s="4"/>
      <c r="L999" s="4"/>
      <c r="M999" s="4"/>
      <c r="N999" s="4"/>
      <c r="O999" s="4"/>
      <c r="P999" s="4"/>
      <c r="T999" s="4"/>
      <c r="U999" s="4"/>
      <c r="V999" s="4"/>
      <c r="W999" s="4"/>
      <c r="X999" s="4"/>
      <c r="Y999" s="4"/>
      <c r="Z999" s="4"/>
      <c r="AA999" s="4"/>
      <c r="AB999" s="4"/>
      <c r="AC999" s="4"/>
      <c r="AD999" s="4"/>
    </row>
    <row r="1000" ht="13.5" customHeight="1" spans="1:30" x14ac:dyDescent="0.25">
      <c r="A1000" s="4"/>
      <c r="B1000" s="4"/>
      <c r="E1000" s="4"/>
      <c r="F1000" s="4"/>
      <c r="G1000" s="4"/>
      <c r="H1000" s="4"/>
      <c r="I1000" s="4"/>
      <c r="J1000" s="4"/>
      <c r="K1000" s="4"/>
      <c r="L1000" s="4"/>
      <c r="M1000" s="4"/>
      <c r="N1000" s="4"/>
      <c r="O1000" s="4"/>
      <c r="P1000" s="4"/>
      <c r="T1000" s="4"/>
      <c r="U1000" s="4"/>
      <c r="V1000" s="4"/>
      <c r="W1000" s="4"/>
      <c r="X1000" s="4"/>
      <c r="Y1000" s="4"/>
      <c r="Z1000" s="4"/>
      <c r="AA1000" s="4"/>
      <c r="AB1000" s="4"/>
      <c r="AC1000" s="4"/>
      <c r="AD1000" s="4"/>
    </row>
    <row r="1001" ht="13.5" customHeight="1" spans="1:30" x14ac:dyDescent="0.25">
      <c r="A1001" s="4"/>
      <c r="B1001" s="4"/>
      <c r="E1001" s="4"/>
      <c r="F1001" s="4"/>
      <c r="G1001" s="4"/>
      <c r="H1001" s="4"/>
      <c r="I1001" s="4"/>
      <c r="J1001" s="4"/>
      <c r="K1001" s="4"/>
      <c r="L1001" s="4"/>
      <c r="M1001" s="4"/>
      <c r="N1001" s="4"/>
      <c r="O1001" s="4"/>
      <c r="P1001" s="4"/>
      <c r="T1001" s="4"/>
      <c r="U1001" s="4"/>
      <c r="V1001" s="4"/>
      <c r="W1001" s="4"/>
      <c r="X1001" s="4"/>
      <c r="Y1001" s="4"/>
      <c r="Z1001" s="4"/>
      <c r="AA1001" s="4"/>
      <c r="AB1001" s="4"/>
      <c r="AC1001" s="4"/>
      <c r="AD1001" s="4"/>
    </row>
    <row r="1002" ht="13.5" customHeight="1" spans="1:30" x14ac:dyDescent="0.25">
      <c r="A1002" s="4"/>
      <c r="B1002" s="4"/>
      <c r="E1002" s="4"/>
      <c r="F1002" s="4"/>
      <c r="G1002" s="4"/>
      <c r="H1002" s="4"/>
      <c r="I1002" s="4"/>
      <c r="J1002" s="4"/>
      <c r="K1002" s="4"/>
      <c r="L1002" s="4"/>
      <c r="M1002" s="4"/>
      <c r="N1002" s="4"/>
      <c r="O1002" s="4"/>
      <c r="P1002" s="4"/>
      <c r="T1002" s="4"/>
      <c r="U1002" s="4"/>
      <c r="V1002" s="4"/>
      <c r="W1002" s="4"/>
      <c r="X1002" s="4"/>
      <c r="Y1002" s="4"/>
      <c r="Z1002" s="4"/>
      <c r="AA1002" s="4"/>
      <c r="AB1002" s="4"/>
      <c r="AC1002" s="4"/>
      <c r="AD1002" s="4"/>
    </row>
    <row r="1003" ht="13.5" customHeight="1" spans="1:30" x14ac:dyDescent="0.25">
      <c r="A1003" s="4"/>
      <c r="B1003" s="4"/>
      <c r="E1003" s="4"/>
      <c r="F1003" s="4"/>
      <c r="G1003" s="4"/>
      <c r="H1003" s="4"/>
      <c r="I1003" s="4"/>
      <c r="J1003" s="4"/>
      <c r="K1003" s="4"/>
      <c r="L1003" s="4"/>
      <c r="M1003" s="4"/>
      <c r="N1003" s="4"/>
      <c r="O1003" s="4"/>
      <c r="P1003" s="4"/>
      <c r="T1003" s="4"/>
      <c r="U1003" s="4"/>
      <c r="V1003" s="4"/>
      <c r="W1003" s="4"/>
      <c r="X1003" s="4"/>
      <c r="Y1003" s="4"/>
      <c r="Z1003" s="4"/>
      <c r="AA1003" s="4"/>
      <c r="AB1003" s="4"/>
      <c r="AC1003" s="4"/>
      <c r="AD1003" s="4"/>
    </row>
  </sheetData>
  <mergeCells count="2">
    <mergeCell ref="F178:H178"/>
    <mergeCell ref="M179:O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
      <c r="B1" s="1"/>
      <c r="C1" s="2" t="str">
        <f>Company_Name&amp;" - "&amp;MID(CELL("filename",A1),FIND("]",CELL("filename",A1))+1,255)&amp;": "&amp;Case_Scenario&amp;" Case"</f>
        <v>Republic Services, Inc. - Benchmark: Base Case</v>
      </c>
      <c r="D1" s="1"/>
      <c r="E1" s="1"/>
      <c r="F1" s="1"/>
      <c r="G1" s="1"/>
      <c r="H1" s="1"/>
      <c r="I1" s="1"/>
      <c r="J1" s="1"/>
      <c r="K1" s="1"/>
      <c r="L1" s="1"/>
      <c r="M1" s="1"/>
      <c r="N1" s="1"/>
      <c r="O1" s="1"/>
      <c r="P1" s="1"/>
      <c r="Q1" s="1"/>
      <c r="R1" s="1"/>
      <c r="S1" s="1"/>
      <c r="T1" s="1"/>
      <c r="U1" s="1"/>
      <c r="V1" s="1"/>
      <c r="W1" s="1"/>
      <c r="X1" s="1"/>
      <c r="Y1" s="1"/>
      <c r="Z1" s="1"/>
    </row>
    <row r="2" ht="13.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7" t="s">
        <v>3</v>
      </c>
      <c r="B3" s="8"/>
      <c r="C3" s="296"/>
      <c r="D3" s="8"/>
      <c r="E3" s="8"/>
      <c r="F3" s="8"/>
      <c r="G3" s="8"/>
      <c r="H3" s="8"/>
      <c r="I3" s="8"/>
      <c r="J3" s="8"/>
      <c r="K3" s="8"/>
      <c r="L3" s="8"/>
      <c r="M3" s="8"/>
      <c r="N3" s="8"/>
      <c r="O3" s="8"/>
      <c r="P3" s="8"/>
      <c r="Q3" s="8"/>
      <c r="R3" s="8"/>
      <c r="S3" s="8"/>
      <c r="T3" s="8"/>
      <c r="U3" s="8"/>
      <c r="V3" s="8"/>
      <c r="W3" s="8"/>
      <c r="X3" s="8"/>
      <c r="Y3" s="8"/>
      <c r="Z3" s="8"/>
    </row>
    <row r="4" ht="13.5" customHeight="1" spans="1:26" x14ac:dyDescent="0.25">
      <c r="A4" s="9"/>
      <c r="B4" s="8"/>
      <c r="C4" s="182" t="s">
        <v>1149</v>
      </c>
      <c r="D4" s="123"/>
      <c r="E4" s="936">
        <f>EDATE(E5,-12)</f>
        <v>45780</v>
      </c>
      <c r="F4" s="8"/>
      <c r="G4" s="75"/>
      <c r="H4" s="75"/>
      <c r="I4" s="75"/>
      <c r="J4" s="75"/>
      <c r="K4" s="75"/>
      <c r="L4" s="75"/>
      <c r="M4" s="8"/>
      <c r="N4" s="8"/>
      <c r="O4" s="8"/>
      <c r="P4" s="8"/>
      <c r="Q4" s="8"/>
      <c r="R4" s="8"/>
      <c r="S4" s="8"/>
      <c r="T4" s="8"/>
      <c r="U4" s="8"/>
      <c r="V4" s="8"/>
      <c r="W4" s="8"/>
      <c r="X4" s="8"/>
      <c r="Y4" s="8"/>
      <c r="Z4" s="8"/>
    </row>
    <row r="5" ht="13.5" customHeight="1" spans="1:26" x14ac:dyDescent="0.25">
      <c r="A5" s="9"/>
      <c r="B5" s="8"/>
      <c r="C5" s="180" t="s">
        <v>1150</v>
      </c>
      <c r="D5" s="8"/>
      <c r="E5" s="937">
        <f>Current_Date</f>
        <v>46145</v>
      </c>
      <c r="F5" s="8"/>
      <c r="G5" s="906" t="str">
        <f>Comparables!F10</f>
        <v>RSG</v>
      </c>
      <c r="H5" s="906" t="str">
        <f>Comparables!F12</f>
        <v>WM</v>
      </c>
      <c r="I5" s="906" t="str">
        <f>Comparables!F13</f>
        <v>WCN</v>
      </c>
      <c r="J5" s="906" t="str">
        <f>Comparables!F14</f>
        <v>GFL</v>
      </c>
      <c r="K5" s="906" t="str">
        <f>Comparables!F15</f>
        <v>CWST</v>
      </c>
      <c r="L5" s="906" t="str">
        <f>Comparables!F16</f>
        <v>CLH</v>
      </c>
      <c r="M5" s="8"/>
      <c r="N5" s="8"/>
      <c r="O5" s="8"/>
      <c r="P5" s="8"/>
      <c r="Q5" s="8"/>
      <c r="R5" s="8"/>
      <c r="S5" s="8"/>
      <c r="T5" s="8"/>
      <c r="U5" s="8"/>
      <c r="V5" s="8"/>
      <c r="W5" s="8"/>
      <c r="X5" s="8"/>
      <c r="Y5" s="8"/>
      <c r="Z5" s="8"/>
    </row>
    <row r="6" ht="13.5" customHeight="1" spans="1:26" x14ac:dyDescent="0.25">
      <c r="A6" s="9"/>
      <c r="B6" s="8"/>
      <c r="C6" s="184" t="s">
        <v>1151</v>
      </c>
      <c r="D6" s="122"/>
      <c r="E6" s="938">
        <f>EDATE(E5,24)</f>
        <v>46876</v>
      </c>
      <c r="F6" s="8"/>
      <c r="G6" s="8"/>
      <c r="H6" s="8"/>
      <c r="I6" s="8"/>
      <c r="J6" s="8"/>
      <c r="K6" s="8"/>
      <c r="L6" s="8"/>
      <c r="M6" s="8"/>
      <c r="N6" s="8"/>
      <c r="O6" s="8"/>
      <c r="P6" s="8"/>
      <c r="Q6" s="8"/>
      <c r="R6" s="8"/>
      <c r="S6" s="8"/>
      <c r="T6" s="8"/>
      <c r="U6" s="8"/>
      <c r="V6" s="8"/>
      <c r="W6" s="8"/>
      <c r="X6" s="8"/>
      <c r="Y6" s="8"/>
      <c r="Z6" s="8"/>
    </row>
    <row r="7" ht="13.5" customHeight="1" spans="1:26" x14ac:dyDescent="0.25">
      <c r="A7" s="9"/>
      <c r="B7" s="8"/>
      <c r="C7" s="8"/>
      <c r="D7" s="8"/>
      <c r="E7" s="8"/>
      <c r="F7" s="8"/>
      <c r="G7" s="8"/>
      <c r="H7" s="8"/>
      <c r="I7" s="8"/>
      <c r="J7" s="8"/>
      <c r="K7" s="8"/>
      <c r="L7" s="8"/>
      <c r="M7" s="8"/>
      <c r="N7" s="8"/>
      <c r="O7" s="8"/>
      <c r="P7" s="8"/>
      <c r="Q7" s="8"/>
      <c r="R7" s="8"/>
      <c r="S7" s="8"/>
      <c r="T7" s="8"/>
      <c r="U7" s="8"/>
      <c r="V7" s="8"/>
      <c r="W7" s="8"/>
      <c r="X7" s="8"/>
      <c r="Y7" s="8"/>
      <c r="Z7" s="8"/>
    </row>
    <row r="8" ht="13.5" customHeight="1"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ht="13.5" customHeight="1" spans="1:26" x14ac:dyDescent="0.25">
      <c r="A9" s="9"/>
      <c r="B9" s="8"/>
      <c r="C9" s="8"/>
      <c r="D9" s="8"/>
      <c r="E9" s="8"/>
      <c r="F9" s="8"/>
      <c r="G9" s="8"/>
      <c r="H9" s="8"/>
      <c r="I9" s="8"/>
      <c r="J9" s="8"/>
      <c r="K9" s="8"/>
      <c r="L9" s="8"/>
      <c r="M9" s="8"/>
      <c r="N9" s="8"/>
      <c r="O9" s="8"/>
      <c r="P9" s="8"/>
      <c r="Q9" s="8"/>
      <c r="R9" s="8"/>
      <c r="S9" s="8"/>
      <c r="T9" s="8"/>
      <c r="U9" s="8"/>
      <c r="V9" s="8"/>
      <c r="W9" s="8"/>
      <c r="X9" s="8"/>
      <c r="Y9" s="8"/>
      <c r="Z9" s="8"/>
    </row>
    <row r="10" ht="13.5" customHeight="1" spans="1:26" x14ac:dyDescent="0.25">
      <c r="A10" s="9"/>
      <c r="B10" s="8"/>
      <c r="C10" s="939" t="s">
        <v>1152</v>
      </c>
      <c r="D10" s="103"/>
      <c r="E10" s="103"/>
      <c r="F10" s="40"/>
      <c r="G10" s="8"/>
      <c r="H10" s="8"/>
      <c r="I10" s="8"/>
      <c r="J10" s="8"/>
      <c r="K10" s="8"/>
      <c r="L10" s="8"/>
      <c r="M10" s="8"/>
      <c r="N10" s="8"/>
      <c r="O10" s="939" t="s">
        <v>1153</v>
      </c>
      <c r="P10" s="103"/>
      <c r="Q10" s="103"/>
      <c r="R10" s="8"/>
      <c r="S10" s="8"/>
      <c r="T10" s="8"/>
      <c r="U10" s="8"/>
      <c r="V10" s="8"/>
      <c r="W10" s="8"/>
      <c r="X10" s="8"/>
      <c r="Y10" s="8"/>
      <c r="Z10" s="8"/>
    </row>
    <row r="11" ht="13.5" customHeight="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ht="13.5" customHeight="1" spans="1:26" x14ac:dyDescent="0.25">
      <c r="A12" s="9"/>
      <c r="B12" s="8"/>
      <c r="C12" s="940" t="str">
        <f t="array" ref="C12:C17">TRANSPOSE(G5:L5)</f>
        <v>RSG</v>
      </c>
      <c r="D12" s="941">
        <f>Comparables!J10</f>
        <v>0.039471411551896374</v>
      </c>
      <c r="E12" s="942"/>
      <c r="F12" s="8"/>
      <c r="G12" s="8"/>
      <c r="H12" s="8"/>
      <c r="I12" s="8"/>
      <c r="J12" s="8"/>
      <c r="K12" s="8"/>
      <c r="L12" s="8"/>
      <c r="M12" s="8"/>
      <c r="N12" s="8"/>
      <c r="O12" s="940" t="str">
        <f>C12</f>
        <v>RSG</v>
      </c>
      <c r="P12" s="942">
        <f>D12</f>
        <v>0.039471411551896374</v>
      </c>
      <c r="Q12" s="942"/>
      <c r="R12" s="8"/>
      <c r="S12" s="8"/>
      <c r="T12" s="8"/>
      <c r="U12" s="8"/>
      <c r="V12" s="8"/>
      <c r="W12" s="8"/>
      <c r="X12" s="8"/>
      <c r="Y12" s="8"/>
      <c r="Z12" s="8"/>
    </row>
    <row r="13" ht="13.5" customHeight="1" spans="1:26" x14ac:dyDescent="0.25">
      <c r="A13" s="9"/>
      <c r="B13" s="669">
        <v>1</v>
      </c>
      <c r="C13" s="765" t="s">
        <v>607</v>
      </c>
      <c r="D13" s="943">
        <f>Comparables!J12+RAND()/1000000</f>
        <v>0.051820428467635744</v>
      </c>
      <c r="E13" s="944">
        <f>MEDIAN(D13:D17)</f>
        <v>0.051820428467635744</v>
      </c>
      <c r="F13" s="8"/>
      <c r="G13" s="8"/>
      <c r="H13" s="8"/>
      <c r="I13" s="8"/>
      <c r="J13" s="8"/>
      <c r="K13" s="8"/>
      <c r="L13" s="8"/>
      <c r="M13" s="8"/>
      <c r="N13" s="8"/>
      <c r="O13" s="765" t="str">
        <f>INDEX($C$13:$C$17,MATCH(P13,$D$13:$D$17,0),1)</f>
        <v>CWST</v>
      </c>
      <c r="P13" s="944">
        <f>LARGE($D$13:$D$17,B13)</f>
        <v>0.18068592435827893</v>
      </c>
      <c r="Q13" s="944">
        <f>E13</f>
        <v>0.051820428467635744</v>
      </c>
      <c r="R13" s="944"/>
      <c r="S13" s="8"/>
      <c r="T13" s="8"/>
      <c r="U13" s="8"/>
      <c r="V13" s="8"/>
      <c r="W13" s="8"/>
      <c r="X13" s="8"/>
      <c r="Y13" s="8"/>
      <c r="Z13" s="8"/>
    </row>
    <row r="14" ht="13.5" customHeight="1" spans="1:26" x14ac:dyDescent="0.25">
      <c r="A14" s="9"/>
      <c r="B14" s="8">
        <f>B13+1</f>
        <v>2</v>
      </c>
      <c r="C14" s="765" t="s">
        <v>611</v>
      </c>
      <c r="D14" s="943">
        <f>Comparables!J13+RAND()/1000000</f>
        <v>0.06061037627045223</v>
      </c>
      <c r="E14" s="944">
        <f>E13</f>
        <v>0.051820428467635744</v>
      </c>
      <c r="F14" s="8"/>
      <c r="G14" s="8"/>
      <c r="H14" s="8"/>
      <c r="I14" s="8"/>
      <c r="J14" s="8"/>
      <c r="K14" s="8"/>
      <c r="L14" s="8"/>
      <c r="M14" s="8"/>
      <c r="N14" s="8"/>
      <c r="O14" s="765" t="str">
        <f>INDEX($C$13:$C$17,MATCH(P14,$D$13:$D$17,0),1)</f>
        <v>WCN</v>
      </c>
      <c r="P14" s="944">
        <f>LARGE($D$13:$D$17,B14)</f>
        <v>0.06061037627045223</v>
      </c>
      <c r="Q14" s="944">
        <f>E14</f>
        <v>0.051820428467635744</v>
      </c>
      <c r="R14" s="944"/>
      <c r="S14" s="8"/>
      <c r="T14" s="8"/>
      <c r="U14" s="8"/>
      <c r="V14" s="8"/>
      <c r="W14" s="8"/>
      <c r="X14" s="8"/>
      <c r="Y14" s="8"/>
      <c r="Z14" s="8"/>
    </row>
    <row r="15" ht="13.5" customHeight="1" spans="1:26" x14ac:dyDescent="0.25">
      <c r="A15" s="9"/>
      <c r="B15" s="8">
        <f>B14+1</f>
        <v>3</v>
      </c>
      <c r="C15" s="765" t="s">
        <v>616</v>
      </c>
      <c r="D15" s="943">
        <f>Comparables!J14+RAND()/1000000</f>
        <v>-0.1609964018855545</v>
      </c>
      <c r="E15" s="944">
        <f>E14</f>
        <v>0.051820428467635744</v>
      </c>
      <c r="F15" s="8"/>
      <c r="G15" s="8"/>
      <c r="H15" s="8"/>
      <c r="I15" s="8"/>
      <c r="J15" s="8"/>
      <c r="K15" s="8"/>
      <c r="L15" s="8"/>
      <c r="M15" s="8"/>
      <c r="N15" s="8"/>
      <c r="O15" s="765" t="str">
        <f>INDEX($C$13:$C$17,MATCH(P15,$D$13:$D$17,0),1)</f>
        <v>WM</v>
      </c>
      <c r="P15" s="944">
        <f>LARGE($D$13:$D$17,B15)</f>
        <v>0.051820428467635744</v>
      </c>
      <c r="Q15" s="944">
        <f>E15</f>
        <v>0.051820428467635744</v>
      </c>
      <c r="R15" s="944"/>
      <c r="S15" s="8"/>
      <c r="T15" s="8"/>
      <c r="U15" s="8"/>
      <c r="V15" s="8"/>
      <c r="W15" s="8"/>
      <c r="X15" s="8"/>
      <c r="Y15" s="8"/>
      <c r="Z15" s="8"/>
    </row>
    <row r="16" ht="13.5" customHeight="1" spans="1:26" x14ac:dyDescent="0.25">
      <c r="A16" s="9"/>
      <c r="B16" s="8">
        <f>B15+1</f>
        <v>4</v>
      </c>
      <c r="C16" s="765" t="s">
        <v>620</v>
      </c>
      <c r="D16" s="943">
        <f>Comparables!J15+RAND()/1000000</f>
        <v>0.18068592435827893</v>
      </c>
      <c r="E16" s="944">
        <f>E15</f>
        <v>0.051820428467635744</v>
      </c>
      <c r="F16" s="8"/>
      <c r="G16" s="8"/>
      <c r="H16" s="8"/>
      <c r="I16" s="8"/>
      <c r="J16" s="8"/>
      <c r="K16" s="8"/>
      <c r="L16" s="8"/>
      <c r="M16" s="8"/>
      <c r="N16" s="8"/>
      <c r="O16" s="765" t="str">
        <f>INDEX($C$13:$C$17,MATCH(P16,$D$13:$D$17,0),1)</f>
        <v>CLH</v>
      </c>
      <c r="P16" s="944">
        <f>LARGE($D$13:$D$17,B16)</f>
        <v>0.017792312929943942</v>
      </c>
      <c r="Q16" s="944">
        <f>E16</f>
        <v>0.051820428467635744</v>
      </c>
      <c r="R16" s="944"/>
      <c r="S16" s="8"/>
      <c r="T16" s="8"/>
      <c r="U16" s="8"/>
      <c r="V16" s="8"/>
      <c r="W16" s="8"/>
      <c r="X16" s="8"/>
      <c r="Y16" s="8"/>
      <c r="Z16" s="8"/>
    </row>
    <row r="17" ht="13.5" customHeight="1" spans="1:26" x14ac:dyDescent="0.25">
      <c r="A17" s="9"/>
      <c r="B17" s="8">
        <f>B16+1</f>
        <v>5</v>
      </c>
      <c r="C17" s="765" t="s">
        <v>624</v>
      </c>
      <c r="D17" s="943">
        <f>Comparables!J16+RAND()/1000000</f>
        <v>0.017792312929943942</v>
      </c>
      <c r="E17" s="944">
        <f>E16</f>
        <v>0.051820428467635744</v>
      </c>
      <c r="F17" s="8"/>
      <c r="G17" s="8"/>
      <c r="H17" s="8"/>
      <c r="I17" s="8"/>
      <c r="J17" s="8"/>
      <c r="K17" s="8"/>
      <c r="L17" s="8"/>
      <c r="M17" s="8"/>
      <c r="N17" s="8"/>
      <c r="O17" s="765" t="str">
        <f>INDEX($C$13:$C$17,MATCH(P17,$D$13:$D$17,0),1)</f>
        <v>GFL</v>
      </c>
      <c r="P17" s="944">
        <f>LARGE($D$13:$D$17,B17)</f>
        <v>-0.1609964018855545</v>
      </c>
      <c r="Q17" s="944">
        <f>E17</f>
        <v>0.051820428467635744</v>
      </c>
      <c r="R17" s="944"/>
      <c r="S17" s="8"/>
      <c r="T17" s="8"/>
      <c r="U17" s="8"/>
      <c r="V17" s="8"/>
      <c r="W17" s="8"/>
      <c r="X17" s="8"/>
      <c r="Y17" s="8"/>
      <c r="Z17" s="8"/>
    </row>
    <row r="18" ht="13.5" customHeight="1"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ht="13.5" customHeight="1" spans="1:26" x14ac:dyDescent="0.25">
      <c r="A19" s="9"/>
      <c r="B19" s="8"/>
      <c r="C19" s="8"/>
      <c r="D19" s="8"/>
      <c r="E19" s="945" t="str">
        <f>"Median "&amp;TEXT(E13,"0.0%")</f>
        <v>Median 5.2%</v>
      </c>
      <c r="F19" s="8"/>
      <c r="G19" s="8"/>
      <c r="H19" s="8"/>
      <c r="I19" s="8"/>
      <c r="J19" s="8"/>
      <c r="K19" s="8"/>
      <c r="L19" s="8"/>
      <c r="M19" s="8"/>
      <c r="N19" s="8"/>
      <c r="O19" s="8"/>
      <c r="P19" s="8"/>
      <c r="Q19" s="945" t="str">
        <f>E19</f>
        <v>Median 5.2%</v>
      </c>
      <c r="R19" s="8"/>
      <c r="S19" s="8"/>
      <c r="T19" s="8"/>
      <c r="U19" s="8"/>
      <c r="V19" s="8"/>
      <c r="W19" s="8"/>
      <c r="X19" s="8"/>
      <c r="Y19" s="8"/>
      <c r="Z19" s="8"/>
    </row>
    <row r="20" ht="13.5" customHeight="1" spans="1:26" x14ac:dyDescent="0.25">
      <c r="A20" s="9"/>
      <c r="B20" s="8"/>
      <c r="C20" s="8"/>
      <c r="D20" s="8"/>
      <c r="E20" s="8"/>
      <c r="F20" s="8"/>
      <c r="G20" s="8"/>
      <c r="H20" s="8"/>
      <c r="I20" s="8"/>
      <c r="J20" s="8"/>
      <c r="K20" s="8"/>
      <c r="L20" s="8"/>
      <c r="M20" s="8"/>
      <c r="N20" s="8"/>
      <c r="O20" s="8"/>
      <c r="P20" s="944"/>
      <c r="Q20" s="8"/>
      <c r="R20" s="8"/>
      <c r="S20" s="8"/>
      <c r="T20" s="8"/>
      <c r="U20" s="8"/>
      <c r="V20" s="8"/>
      <c r="W20" s="8"/>
      <c r="X20" s="8"/>
      <c r="Y20" s="8"/>
      <c r="Z20" s="8"/>
    </row>
    <row r="21" ht="13.5" customHeight="1" spans="1:26" x14ac:dyDescent="0.25">
      <c r="A21" s="9"/>
      <c r="B21" s="8"/>
      <c r="C21" s="8"/>
      <c r="D21" s="8"/>
      <c r="E21" s="8"/>
      <c r="F21" s="8"/>
      <c r="G21" s="8"/>
      <c r="H21" s="8"/>
      <c r="I21" s="8"/>
      <c r="J21" s="8"/>
      <c r="K21" s="8"/>
      <c r="L21" s="8"/>
      <c r="M21" s="8"/>
      <c r="N21" s="8"/>
      <c r="O21" s="8"/>
      <c r="P21" s="944"/>
      <c r="Q21" s="8"/>
      <c r="R21" s="8"/>
      <c r="S21" s="8"/>
      <c r="T21" s="8"/>
      <c r="U21" s="8"/>
      <c r="V21" s="8"/>
      <c r="W21" s="8"/>
      <c r="X21" s="8"/>
      <c r="Y21" s="8"/>
      <c r="Z21" s="8"/>
    </row>
    <row r="22" ht="13.5" customHeight="1" spans="1:26" x14ac:dyDescent="0.25">
      <c r="A22" s="9"/>
      <c r="B22" s="8"/>
      <c r="C22" s="8"/>
      <c r="D22" s="8"/>
      <c r="E22" s="8"/>
      <c r="F22" s="8"/>
      <c r="G22" s="8"/>
      <c r="H22" s="8"/>
      <c r="I22" s="8"/>
      <c r="J22" s="8"/>
      <c r="K22" s="8"/>
      <c r="L22" s="8"/>
      <c r="M22" s="8"/>
      <c r="N22" s="8"/>
      <c r="O22" s="8"/>
      <c r="P22" s="944"/>
      <c r="Q22" s="8"/>
      <c r="R22" s="8"/>
      <c r="S22" s="8"/>
      <c r="T22" s="8"/>
      <c r="U22" s="8"/>
      <c r="V22" s="8"/>
      <c r="W22" s="8"/>
      <c r="X22" s="8"/>
      <c r="Y22" s="8"/>
      <c r="Z22" s="8"/>
    </row>
    <row r="23" ht="13.5" customHeight="1" spans="1:26" x14ac:dyDescent="0.25">
      <c r="A23" s="9"/>
      <c r="B23" s="8"/>
      <c r="C23" s="8"/>
      <c r="D23" s="8"/>
      <c r="E23" s="8"/>
      <c r="F23" s="8"/>
      <c r="G23" s="8"/>
      <c r="H23" s="8"/>
      <c r="I23" s="8"/>
      <c r="J23" s="8"/>
      <c r="K23" s="8"/>
      <c r="L23" s="8"/>
      <c r="M23" s="8"/>
      <c r="N23" s="8"/>
      <c r="O23" s="8"/>
      <c r="P23" s="944"/>
      <c r="Q23" s="8"/>
      <c r="R23" s="8"/>
      <c r="S23" s="8"/>
      <c r="T23" s="8"/>
      <c r="U23" s="8"/>
      <c r="V23" s="8"/>
      <c r="W23" s="8"/>
      <c r="X23" s="8"/>
      <c r="Y23" s="8"/>
      <c r="Z23" s="8"/>
    </row>
    <row r="24" ht="13.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3.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3.5" customHeight="1" spans="1:26" x14ac:dyDescent="0.25">
      <c r="A26" s="9"/>
      <c r="B26" s="8"/>
      <c r="C26" s="939" t="str">
        <f>C10</f>
        <v>Raw Data</v>
      </c>
      <c r="D26" s="103"/>
      <c r="E26" s="103"/>
      <c r="F26" s="40"/>
      <c r="G26" s="8"/>
      <c r="H26" s="8"/>
      <c r="I26" s="8"/>
      <c r="J26" s="8"/>
      <c r="K26" s="8"/>
      <c r="L26" s="8"/>
      <c r="M26" s="8"/>
      <c r="N26" s="8"/>
      <c r="O26" s="939" t="str">
        <f>O10</f>
        <v>Chart Data</v>
      </c>
      <c r="P26" s="103"/>
      <c r="Q26" s="103"/>
      <c r="R26" s="8"/>
      <c r="S26" s="8"/>
      <c r="T26" s="8"/>
      <c r="U26" s="8"/>
      <c r="V26" s="8"/>
      <c r="W26" s="8"/>
      <c r="X26" s="8"/>
      <c r="Y26" s="8"/>
      <c r="Z26" s="8"/>
    </row>
    <row r="27" ht="13.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3.5" customHeight="1" spans="1:26" x14ac:dyDescent="0.25">
      <c r="A28" s="9"/>
      <c r="B28" s="669"/>
      <c r="C28" s="940" t="str">
        <f t="shared" ref="C28:C33" si="0">C12</f>
        <v>RSG</v>
      </c>
      <c r="D28" s="941">
        <f>Comparables!L10</f>
        <v>0.06293836671802766</v>
      </c>
      <c r="E28" s="942"/>
      <c r="F28" s="8"/>
      <c r="G28" s="8"/>
      <c r="H28" s="8"/>
      <c r="I28" s="8"/>
      <c r="J28" s="8"/>
      <c r="K28" s="8"/>
      <c r="L28" s="8"/>
      <c r="M28" s="8"/>
      <c r="N28" s="8"/>
      <c r="O28" s="940" t="str">
        <f>C28</f>
        <v>RSG</v>
      </c>
      <c r="P28" s="942">
        <f>D28</f>
        <v>0.06293836671802766</v>
      </c>
      <c r="Q28" s="942"/>
      <c r="R28" s="8"/>
      <c r="S28" s="8"/>
      <c r="T28" s="8"/>
      <c r="U28" s="8"/>
      <c r="V28" s="8"/>
      <c r="W28" s="8"/>
      <c r="X28" s="8"/>
      <c r="Y28" s="8"/>
      <c r="Z28" s="8"/>
    </row>
    <row r="29" ht="13.5" customHeight="1" spans="1:26" x14ac:dyDescent="0.25">
      <c r="A29" s="9"/>
      <c r="B29" s="669">
        <v>1</v>
      </c>
      <c r="C29" s="765" t="str">
        <f t="shared" si="0"/>
        <v>WM</v>
      </c>
      <c r="D29" s="943">
        <f>Comparables!L12+RAND()/1000000</f>
        <v>0.22576001654125177</v>
      </c>
      <c r="E29" s="944">
        <f>MEDIAN(D29:D33)</f>
        <v>0.22576001654125177</v>
      </c>
      <c r="F29" s="8"/>
      <c r="G29" s="8"/>
      <c r="H29" s="8"/>
      <c r="I29" s="8"/>
      <c r="J29" s="8"/>
      <c r="K29" s="8"/>
      <c r="L29" s="8"/>
      <c r="M29" s="8"/>
      <c r="N29" s="8"/>
      <c r="O29" s="765" t="str">
        <f>INDEX($C$29:$C$33,MATCH(P29,$D$29:$D$33,0),1)</f>
        <v>CWST</v>
      </c>
      <c r="P29" s="944">
        <f>LARGE($D$29:$D$33,B29)</f>
        <v>4.264117311207421</v>
      </c>
      <c r="Q29" s="944">
        <f>E29</f>
        <v>0.22576001654125177</v>
      </c>
      <c r="R29" s="8"/>
      <c r="S29" s="8"/>
      <c r="T29" s="8"/>
      <c r="U29" s="8"/>
      <c r="V29" s="8"/>
      <c r="W29" s="8"/>
      <c r="X29" s="8"/>
      <c r="Y29" s="8"/>
      <c r="Z29" s="8"/>
    </row>
    <row r="30" ht="13.5" customHeight="1" spans="1:26" x14ac:dyDescent="0.25">
      <c r="A30" s="9"/>
      <c r="B30" s="8">
        <f>B29+1</f>
        <v>2</v>
      </c>
      <c r="C30" s="765" t="str">
        <f t="shared" si="0"/>
        <v>WCN</v>
      </c>
      <c r="D30" s="943">
        <f>Comparables!L13+RAND()/1000000</f>
        <v>1.1508670199032942</v>
      </c>
      <c r="E30" s="944">
        <f>E29</f>
        <v>0.22576001654125177</v>
      </c>
      <c r="F30" s="8"/>
      <c r="G30" s="8"/>
      <c r="H30" s="8"/>
      <c r="I30" s="8"/>
      <c r="J30" s="8"/>
      <c r="K30" s="8"/>
      <c r="L30" s="8"/>
      <c r="M30" s="8"/>
      <c r="N30" s="8"/>
      <c r="O30" s="765" t="str">
        <f>INDEX($C$29:$C$33,MATCH(P30,$D$29:$D$33,0),1)</f>
        <v>WCN</v>
      </c>
      <c r="P30" s="944">
        <f>LARGE($D$29:$D$33,B30)</f>
        <v>1.1508670199032942</v>
      </c>
      <c r="Q30" s="944">
        <f>E30</f>
        <v>0.22576001654125177</v>
      </c>
      <c r="R30" s="8"/>
      <c r="S30" s="8"/>
      <c r="T30" s="8"/>
      <c r="U30" s="8"/>
      <c r="V30" s="8"/>
      <c r="W30" s="8"/>
      <c r="X30" s="8"/>
      <c r="Y30" s="8"/>
      <c r="Z30" s="8"/>
    </row>
    <row r="31" ht="13.5" customHeight="1" spans="1:26" x14ac:dyDescent="0.25">
      <c r="A31" s="9"/>
      <c r="B31" s="8">
        <f>B30+1</f>
        <v>3</v>
      </c>
      <c r="C31" s="765" t="str">
        <f t="shared" si="0"/>
        <v>GFL</v>
      </c>
      <c r="D31" s="943">
        <f>Comparables!L14+RAND()/1000000</f>
        <v>-1.2808824760236952</v>
      </c>
      <c r="E31" s="944">
        <f>E30</f>
        <v>0.22576001654125177</v>
      </c>
      <c r="F31" s="8"/>
      <c r="G31" s="8"/>
      <c r="H31" s="8"/>
      <c r="I31" s="8"/>
      <c r="J31" s="8"/>
      <c r="K31" s="8"/>
      <c r="L31" s="8"/>
      <c r="M31" s="8"/>
      <c r="N31" s="8"/>
      <c r="O31" s="765" t="str">
        <f>INDEX($C$29:$C$33,MATCH(P31,$D$29:$D$33,0),1)</f>
        <v>WM</v>
      </c>
      <c r="P31" s="944">
        <f>LARGE($D$29:$D$33,B31)</f>
        <v>0.22576001654125177</v>
      </c>
      <c r="Q31" s="944">
        <f>E31</f>
        <v>0.22576001654125177</v>
      </c>
      <c r="R31" s="8"/>
      <c r="S31" s="8"/>
      <c r="T31" s="8"/>
      <c r="U31" s="8"/>
      <c r="V31" s="8"/>
      <c r="W31" s="8"/>
      <c r="X31" s="8"/>
      <c r="Y31" s="8"/>
      <c r="Z31" s="8"/>
    </row>
    <row r="32" ht="13.5" customHeight="1" spans="1:26" x14ac:dyDescent="0.25">
      <c r="A32" s="9"/>
      <c r="B32" s="8">
        <f>B31+1</f>
        <v>4</v>
      </c>
      <c r="C32" s="765" t="str">
        <f t="shared" si="0"/>
        <v>CWST</v>
      </c>
      <c r="D32" s="943">
        <f>Comparables!L15+RAND()/1000000</f>
        <v>4.264117311207421</v>
      </c>
      <c r="E32" s="944">
        <f>E31</f>
        <v>0.22576001654125177</v>
      </c>
      <c r="F32" s="8"/>
      <c r="G32" s="8"/>
      <c r="H32" s="8"/>
      <c r="I32" s="8"/>
      <c r="J32" s="8"/>
      <c r="K32" s="8"/>
      <c r="L32" s="8"/>
      <c r="M32" s="8"/>
      <c r="N32" s="8"/>
      <c r="O32" s="765" t="str">
        <f>INDEX($C$29:$C$33,MATCH(P32,$D$29:$D$33,0),1)</f>
        <v>CLH</v>
      </c>
      <c r="P32" s="944">
        <f>LARGE($D$29:$D$33,B32)</f>
        <v>-0.022576234764543165</v>
      </c>
      <c r="Q32" s="944">
        <f>E32</f>
        <v>0.22576001654125177</v>
      </c>
      <c r="R32" s="8"/>
      <c r="S32" s="8"/>
      <c r="T32" s="8"/>
      <c r="U32" s="8"/>
      <c r="V32" s="8"/>
      <c r="W32" s="8"/>
      <c r="X32" s="8"/>
      <c r="Y32" s="8"/>
      <c r="Z32" s="8"/>
    </row>
    <row r="33" ht="13.5" customHeight="1" spans="1:26" x14ac:dyDescent="0.25">
      <c r="A33" s="9"/>
      <c r="B33" s="8">
        <f>B32+1</f>
        <v>5</v>
      </c>
      <c r="C33" s="765" t="str">
        <f t="shared" si="0"/>
        <v>CLH</v>
      </c>
      <c r="D33" s="943">
        <f>Comparables!L16+RAND()/1000000</f>
        <v>-0.022576234764543165</v>
      </c>
      <c r="E33" s="944">
        <f>E32</f>
        <v>0.22576001654125177</v>
      </c>
      <c r="F33" s="8"/>
      <c r="G33" s="8"/>
      <c r="H33" s="8"/>
      <c r="I33" s="8"/>
      <c r="J33" s="8"/>
      <c r="K33" s="8"/>
      <c r="L33" s="8"/>
      <c r="M33" s="8"/>
      <c r="N33" s="8"/>
      <c r="O33" s="765" t="str">
        <f>INDEX($C$29:$C$33,MATCH(P33,$D$29:$D$33,0),1)</f>
        <v>GFL</v>
      </c>
      <c r="P33" s="944">
        <f>LARGE($D$29:$D$33,B33)</f>
        <v>-1.2808824760236952</v>
      </c>
      <c r="Q33" s="944">
        <f>E33</f>
        <v>0.22576001654125177</v>
      </c>
      <c r="R33" s="8"/>
      <c r="S33" s="8"/>
      <c r="T33" s="8"/>
      <c r="U33" s="8"/>
      <c r="V33" s="8"/>
      <c r="W33" s="8"/>
      <c r="X33" s="8"/>
      <c r="Y33" s="8"/>
      <c r="Z33" s="8"/>
    </row>
    <row r="34" ht="13.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3.5" customHeight="1" spans="1:26" x14ac:dyDescent="0.25">
      <c r="A35" s="9"/>
      <c r="B35" s="8"/>
      <c r="C35" s="8"/>
      <c r="D35" s="8"/>
      <c r="E35" s="945" t="str">
        <f>"Median "&amp;TEXT(E29,"0.0%")</f>
        <v>Median 22.6%</v>
      </c>
      <c r="F35" s="8"/>
      <c r="G35" s="8"/>
      <c r="H35" s="8"/>
      <c r="I35" s="8"/>
      <c r="J35" s="8"/>
      <c r="K35" s="8"/>
      <c r="L35" s="8"/>
      <c r="M35" s="8"/>
      <c r="N35" s="8"/>
      <c r="O35" s="8"/>
      <c r="P35" s="8"/>
      <c r="Q35" s="945" t="str">
        <f>E35</f>
        <v>Median 22.6%</v>
      </c>
      <c r="R35" s="8"/>
      <c r="S35" s="8"/>
      <c r="T35" s="8"/>
      <c r="U35" s="8"/>
      <c r="V35" s="8"/>
      <c r="W35" s="8"/>
      <c r="X35" s="8"/>
      <c r="Y35" s="8"/>
      <c r="Z35" s="8"/>
    </row>
    <row r="36" ht="13.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3.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3.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3.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3.5" customHeight="1" spans="1:26" x14ac:dyDescent="0.25">
      <c r="A40" s="9" t="s">
        <v>3</v>
      </c>
      <c r="B40" s="8"/>
      <c r="C40" s="83" t="s">
        <v>1154</v>
      </c>
      <c r="D40" s="14"/>
      <c r="E40" s="14"/>
      <c r="F40" s="14"/>
      <c r="G40" s="14"/>
      <c r="H40" s="14"/>
      <c r="I40" s="14"/>
      <c r="J40" s="14"/>
      <c r="K40" s="14"/>
      <c r="L40" s="14"/>
      <c r="M40" s="14"/>
      <c r="N40" s="14"/>
      <c r="O40" s="14"/>
      <c r="P40" s="14"/>
      <c r="Q40" s="15"/>
      <c r="R40" s="8"/>
      <c r="S40" s="8"/>
      <c r="T40" s="8"/>
      <c r="U40" s="8"/>
      <c r="V40" s="8"/>
      <c r="W40" s="8"/>
      <c r="X40" s="8"/>
      <c r="Y40" s="8"/>
      <c r="Z40" s="8"/>
    </row>
    <row r="41" ht="13.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3.5" customHeight="1" spans="1:26" x14ac:dyDescent="0.25">
      <c r="A42" s="9"/>
      <c r="B42" s="8"/>
      <c r="C42" s="939" t="str">
        <f>C26</f>
        <v>Raw Data</v>
      </c>
      <c r="D42" s="103"/>
      <c r="E42" s="103"/>
      <c r="F42" s="40"/>
      <c r="G42" s="8"/>
      <c r="H42" s="8"/>
      <c r="I42" s="8"/>
      <c r="J42" s="8"/>
      <c r="K42" s="8"/>
      <c r="L42" s="8"/>
      <c r="M42" s="8"/>
      <c r="N42" s="8"/>
      <c r="O42" s="939" t="str">
        <f>O26</f>
        <v>Chart Data</v>
      </c>
      <c r="P42" s="103"/>
      <c r="Q42" s="103"/>
      <c r="R42" s="8"/>
      <c r="S42" s="8"/>
      <c r="T42" s="8"/>
      <c r="U42" s="8"/>
      <c r="V42" s="8"/>
      <c r="W42" s="8"/>
      <c r="X42" s="8"/>
      <c r="Y42" s="8"/>
      <c r="Z42" s="8"/>
    </row>
    <row r="43" ht="13.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3.5" customHeight="1" spans="1:26" x14ac:dyDescent="0.25">
      <c r="A44" s="9"/>
      <c r="B44" s="8"/>
      <c r="C44" s="940" t="str">
        <f t="shared" ref="C44:C49" si="1">C28</f>
        <v>RSG</v>
      </c>
      <c r="D44" s="946">
        <f>Comparables!R10</f>
        <v>15.272700859783368</v>
      </c>
      <c r="E44" s="942"/>
      <c r="F44" s="8"/>
      <c r="G44" s="8"/>
      <c r="H44" s="8"/>
      <c r="I44" s="8"/>
      <c r="J44" s="8"/>
      <c r="K44" s="8"/>
      <c r="L44" s="8"/>
      <c r="M44" s="8"/>
      <c r="N44" s="8"/>
      <c r="O44" s="940" t="str">
        <f>C44</f>
        <v>RSG</v>
      </c>
      <c r="P44" s="947">
        <f>D44</f>
        <v>15.272700859783368</v>
      </c>
      <c r="Q44" s="942"/>
      <c r="R44" s="8"/>
      <c r="S44" s="8"/>
      <c r="T44" s="8"/>
      <c r="U44" s="8"/>
      <c r="V44" s="8"/>
      <c r="W44" s="8"/>
      <c r="X44" s="8"/>
      <c r="Y44" s="8"/>
      <c r="Z44" s="8"/>
    </row>
    <row r="45" ht="13.5" customHeight="1" spans="1:26" x14ac:dyDescent="0.25">
      <c r="A45" s="9"/>
      <c r="B45" s="669">
        <v>1</v>
      </c>
      <c r="C45" s="765" t="str">
        <f t="shared" si="1"/>
        <v>WM</v>
      </c>
      <c r="D45" s="948">
        <f>Comparables!R12+RAND()/1000000</f>
        <v>13.892109074005367</v>
      </c>
      <c r="E45" s="949">
        <f>MEDIAN(D45:D49)</f>
        <v>14.559743515312638</v>
      </c>
      <c r="F45" s="8"/>
      <c r="G45" s="8"/>
      <c r="H45" s="8"/>
      <c r="I45" s="8"/>
      <c r="J45" s="8"/>
      <c r="K45" s="8"/>
      <c r="L45" s="8"/>
      <c r="M45" s="8"/>
      <c r="N45" s="8"/>
      <c r="O45" s="765" t="str">
        <f>INDEX($C$45:$C$49,MATCH(P45,$D$45:$D$49,0),1)</f>
        <v>CWST</v>
      </c>
      <c r="P45" s="949">
        <f>LARGE($D$45:$D$49,B45)</f>
        <v>18.1477951382698</v>
      </c>
      <c r="Q45" s="949">
        <f>E45</f>
        <v>14.559743515312638</v>
      </c>
      <c r="R45" s="8"/>
      <c r="S45" s="8"/>
      <c r="T45" s="8"/>
      <c r="U45" s="8"/>
      <c r="V45" s="8"/>
      <c r="W45" s="8"/>
      <c r="X45" s="8"/>
      <c r="Y45" s="8"/>
      <c r="Z45" s="8"/>
    </row>
    <row r="46" ht="13.5" customHeight="1" spans="1:26" x14ac:dyDescent="0.25">
      <c r="A46" s="9"/>
      <c r="B46" s="8">
        <f>B45+1</f>
        <v>2</v>
      </c>
      <c r="C46" s="765" t="str">
        <f t="shared" si="1"/>
        <v>WCN</v>
      </c>
      <c r="D46" s="948">
        <f>Comparables!R13+RAND()/1000000</f>
        <v>16.732758598352383</v>
      </c>
      <c r="E46" s="949">
        <f>E45</f>
        <v>14.559743515312638</v>
      </c>
      <c r="F46" s="8"/>
      <c r="G46" s="8"/>
      <c r="H46" s="8"/>
      <c r="I46" s="8"/>
      <c r="J46" s="8"/>
      <c r="K46" s="8"/>
      <c r="L46" s="8"/>
      <c r="M46" s="8"/>
      <c r="N46" s="8"/>
      <c r="O46" s="765" t="str">
        <f>INDEX($C$45:$C$49,MATCH(P46,$D$45:$D$49,0),1)</f>
        <v>WCN</v>
      </c>
      <c r="P46" s="949">
        <f>LARGE($D$45:$D$49,B46)</f>
        <v>16.732758598352383</v>
      </c>
      <c r="Q46" s="949">
        <f>E46</f>
        <v>14.559743515312638</v>
      </c>
      <c r="R46" s="8"/>
      <c r="S46" s="8"/>
      <c r="T46" s="8"/>
      <c r="U46" s="8"/>
      <c r="V46" s="8"/>
      <c r="W46" s="8"/>
      <c r="X46" s="8"/>
      <c r="Y46" s="8"/>
      <c r="Z46" s="8"/>
    </row>
    <row r="47" ht="13.5" customHeight="1" spans="1:26" x14ac:dyDescent="0.25">
      <c r="A47" s="9"/>
      <c r="B47" s="8">
        <f>B46+1</f>
        <v>3</v>
      </c>
      <c r="C47" s="765" t="str">
        <f t="shared" si="1"/>
        <v>GFL</v>
      </c>
      <c r="D47" s="948">
        <f>Comparables!R14+RAND()/1000000</f>
        <v>14.559743515312638</v>
      </c>
      <c r="E47" s="949">
        <f>E46</f>
        <v>14.559743515312638</v>
      </c>
      <c r="F47" s="8"/>
      <c r="G47" s="8"/>
      <c r="H47" s="8"/>
      <c r="I47" s="8"/>
      <c r="J47" s="8"/>
      <c r="K47" s="8"/>
      <c r="L47" s="8"/>
      <c r="M47" s="8"/>
      <c r="N47" s="8"/>
      <c r="O47" s="765" t="str">
        <f>INDEX($C$45:$C$49,MATCH(P47,$D$45:$D$49,0),1)</f>
        <v>GFL</v>
      </c>
      <c r="P47" s="949">
        <f>LARGE($D$45:$D$49,B47)</f>
        <v>14.559743515312638</v>
      </c>
      <c r="Q47" s="949">
        <f>E47</f>
        <v>14.559743515312638</v>
      </c>
      <c r="R47" s="8"/>
      <c r="S47" s="8"/>
      <c r="T47" s="8"/>
      <c r="U47" s="8"/>
      <c r="V47" s="8"/>
      <c r="W47" s="8"/>
      <c r="X47" s="8"/>
      <c r="Y47" s="8"/>
      <c r="Z47" s="8"/>
    </row>
    <row r="48" ht="13.5" customHeight="1" spans="1:26" x14ac:dyDescent="0.25">
      <c r="A48" s="9"/>
      <c r="B48" s="8">
        <f>B47+1</f>
        <v>4</v>
      </c>
      <c r="C48" s="765" t="str">
        <f t="shared" si="1"/>
        <v>CWST</v>
      </c>
      <c r="D48" s="948">
        <f>Comparables!R15+RAND()/1000000</f>
        <v>18.1477951382698</v>
      </c>
      <c r="E48" s="949">
        <f>E47</f>
        <v>14.559743515312638</v>
      </c>
      <c r="F48" s="8"/>
      <c r="G48" s="8"/>
      <c r="H48" s="8"/>
      <c r="I48" s="8"/>
      <c r="J48" s="8"/>
      <c r="K48" s="8"/>
      <c r="L48" s="8"/>
      <c r="M48" s="8"/>
      <c r="N48" s="8"/>
      <c r="O48" s="765" t="str">
        <f>INDEX($C$45:$C$49,MATCH(P48,$D$45:$D$49,0),1)</f>
        <v>CLH</v>
      </c>
      <c r="P48" s="949">
        <f>LARGE($D$45:$D$49,B48)</f>
        <v>14.001092470191841</v>
      </c>
      <c r="Q48" s="949">
        <f>E48</f>
        <v>14.559743515312638</v>
      </c>
      <c r="R48" s="8"/>
      <c r="S48" s="8"/>
      <c r="T48" s="8"/>
      <c r="U48" s="8"/>
      <c r="V48" s="8"/>
      <c r="W48" s="8"/>
      <c r="X48" s="8"/>
      <c r="Y48" s="8"/>
      <c r="Z48" s="8"/>
    </row>
    <row r="49" ht="13.5" customHeight="1" spans="1:26" x14ac:dyDescent="0.25">
      <c r="A49" s="9"/>
      <c r="B49" s="8">
        <f>B48+1</f>
        <v>5</v>
      </c>
      <c r="C49" s="765" t="str">
        <f t="shared" si="1"/>
        <v>CLH</v>
      </c>
      <c r="D49" s="948">
        <f>Comparables!R16+RAND()/1000000</f>
        <v>14.001092470191841</v>
      </c>
      <c r="E49" s="949">
        <f>E48</f>
        <v>14.559743515312638</v>
      </c>
      <c r="F49" s="8"/>
      <c r="G49" s="8"/>
      <c r="H49" s="8"/>
      <c r="I49" s="8"/>
      <c r="J49" s="8"/>
      <c r="K49" s="8"/>
      <c r="L49" s="8"/>
      <c r="M49" s="8"/>
      <c r="N49" s="8"/>
      <c r="O49" s="765" t="str">
        <f>INDEX($C$45:$C$49,MATCH(P49,$D$45:$D$49,0),1)</f>
        <v>WM</v>
      </c>
      <c r="P49" s="949">
        <f>LARGE($D$45:$D$49,B49)</f>
        <v>13.892109074005367</v>
      </c>
      <c r="Q49" s="949">
        <f>E49</f>
        <v>14.559743515312638</v>
      </c>
      <c r="R49" s="8"/>
      <c r="S49" s="8"/>
      <c r="T49" s="8"/>
      <c r="U49" s="8"/>
      <c r="V49" s="8"/>
      <c r="W49" s="8"/>
      <c r="X49" s="8"/>
      <c r="Y49" s="8"/>
      <c r="Z49" s="8"/>
    </row>
    <row r="50" ht="13.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spans="1:26" x14ac:dyDescent="0.25">
      <c r="A51" s="9"/>
      <c r="B51" s="8"/>
      <c r="C51" s="8"/>
      <c r="D51" s="8"/>
      <c r="E51" s="945" t="str">
        <f>"Median "&amp;TEXT(E45,"0.0x")</f>
        <v>Median 14.6x</v>
      </c>
      <c r="F51" s="8"/>
      <c r="G51" s="8"/>
      <c r="H51" s="8"/>
      <c r="I51" s="8"/>
      <c r="J51" s="8"/>
      <c r="K51" s="8"/>
      <c r="L51" s="8"/>
      <c r="M51" s="8"/>
      <c r="N51" s="8"/>
      <c r="O51" s="8"/>
      <c r="P51" s="8"/>
      <c r="Q51" s="945" t="str">
        <f>E51</f>
        <v>Median 14.6x</v>
      </c>
      <c r="R51" s="8"/>
      <c r="S51" s="8"/>
      <c r="T51" s="8"/>
      <c r="U51" s="8"/>
      <c r="V51" s="8"/>
      <c r="W51" s="8"/>
      <c r="X51" s="8"/>
      <c r="Y51" s="8"/>
      <c r="Z51" s="8"/>
    </row>
    <row r="52" ht="13.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3.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3.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3.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3.5" customHeight="1" spans="1:26" x14ac:dyDescent="0.25">
      <c r="A56" s="9" t="s">
        <v>3</v>
      </c>
      <c r="B56" s="8"/>
      <c r="C56" s="83" t="s">
        <v>1155</v>
      </c>
      <c r="D56" s="14"/>
      <c r="E56" s="14"/>
      <c r="F56" s="14"/>
      <c r="G56" s="14"/>
      <c r="H56" s="14"/>
      <c r="I56" s="14"/>
      <c r="J56" s="14"/>
      <c r="K56" s="14"/>
      <c r="L56" s="14"/>
      <c r="M56" s="14"/>
      <c r="N56" s="14"/>
      <c r="O56" s="14"/>
      <c r="P56" s="14"/>
      <c r="Q56" s="15"/>
      <c r="R56" s="8"/>
      <c r="S56" s="8"/>
      <c r="T56" s="8"/>
      <c r="U56" s="8"/>
      <c r="V56" s="8"/>
      <c r="W56" s="8"/>
      <c r="X56" s="8"/>
      <c r="Y56" s="8"/>
      <c r="Z56" s="8"/>
    </row>
    <row r="57" ht="13.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3.5" customHeight="1" spans="1:26" x14ac:dyDescent="0.25">
      <c r="A58" s="9"/>
      <c r="B58" s="8"/>
      <c r="C58" s="939" t="str">
        <f>C42</f>
        <v>Raw Data</v>
      </c>
      <c r="D58" s="103"/>
      <c r="E58" s="103"/>
      <c r="F58" s="40"/>
      <c r="G58" s="8"/>
      <c r="H58" s="8"/>
      <c r="I58" s="8"/>
      <c r="J58" s="8"/>
      <c r="K58" s="8"/>
      <c r="L58" s="8"/>
      <c r="M58" s="8"/>
      <c r="N58" s="8"/>
      <c r="O58" s="939" t="str">
        <f>O42</f>
        <v>Chart Data</v>
      </c>
      <c r="P58" s="103"/>
      <c r="Q58" s="103"/>
      <c r="R58" s="8"/>
      <c r="S58" s="8"/>
      <c r="T58" s="8"/>
      <c r="U58" s="8"/>
      <c r="V58" s="8"/>
      <c r="W58" s="8"/>
      <c r="X58" s="8"/>
      <c r="Y58" s="8"/>
      <c r="Z58" s="8"/>
    </row>
    <row r="59" ht="13.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3.5" customHeight="1" spans="1:26" x14ac:dyDescent="0.25">
      <c r="A60" s="9"/>
      <c r="B60" s="8"/>
      <c r="C60" s="940" t="str">
        <f t="shared" ref="C60:C65" si="2">C44</f>
        <v>RSG</v>
      </c>
      <c r="D60" s="946">
        <f>Comparables!V10</f>
        <v>31.35558838994829</v>
      </c>
      <c r="E60" s="942"/>
      <c r="F60" s="8"/>
      <c r="G60" s="8"/>
      <c r="H60" s="8"/>
      <c r="I60" s="8"/>
      <c r="J60" s="8"/>
      <c r="K60" s="8"/>
      <c r="L60" s="8"/>
      <c r="M60" s="8"/>
      <c r="N60" s="8"/>
      <c r="O60" s="940" t="str">
        <f>C60</f>
        <v>RSG</v>
      </c>
      <c r="P60" s="947">
        <f>D60</f>
        <v>31.35558838994829</v>
      </c>
      <c r="Q60" s="942"/>
      <c r="R60" s="8"/>
      <c r="S60" s="8"/>
      <c r="T60" s="8"/>
      <c r="U60" s="8"/>
      <c r="V60" s="8"/>
      <c r="W60" s="8"/>
      <c r="X60" s="8"/>
      <c r="Y60" s="8"/>
      <c r="Z60" s="8"/>
    </row>
    <row r="61" ht="13.5" customHeight="1" spans="1:26" x14ac:dyDescent="0.25">
      <c r="A61" s="9"/>
      <c r="B61" s="669">
        <v>1</v>
      </c>
      <c r="C61" s="765" t="str">
        <f t="shared" si="2"/>
        <v>WM</v>
      </c>
      <c r="D61" s="948">
        <f>Comparables!V12+RAND()/1000000</f>
        <v>27.696830065889344</v>
      </c>
      <c r="E61" s="949">
        <f>MEDIAN(D61:D65)</f>
        <v>35.75876520930788</v>
      </c>
      <c r="F61" s="8"/>
      <c r="G61" s="8"/>
      <c r="H61" s="8"/>
      <c r="I61" s="8"/>
      <c r="J61" s="8"/>
      <c r="K61" s="8"/>
      <c r="L61" s="8"/>
      <c r="M61" s="8"/>
      <c r="N61" s="8"/>
      <c r="O61" s="765" t="str">
        <f>INDEX($C$61:$C$65,MATCH(P61,$D$61:$D$65,0),1)</f>
        <v>GFL</v>
      </c>
      <c r="P61" s="949">
        <f>LARGE($D$61:$D$65,B61)</f>
        <v>91.14642340072703</v>
      </c>
      <c r="Q61" s="949">
        <f>E61</f>
        <v>35.75876520930788</v>
      </c>
      <c r="R61" s="8"/>
      <c r="S61" s="8"/>
      <c r="T61" s="8"/>
      <c r="U61" s="8"/>
      <c r="V61" s="8"/>
      <c r="W61" s="8"/>
      <c r="X61" s="8"/>
      <c r="Y61" s="8"/>
      <c r="Z61" s="8"/>
    </row>
    <row r="62" ht="13.5" customHeight="1" spans="1:26" x14ac:dyDescent="0.25">
      <c r="A62" s="9"/>
      <c r="B62" s="8">
        <f>B61+1</f>
        <v>2</v>
      </c>
      <c r="C62" s="765" t="str">
        <f t="shared" si="2"/>
        <v>WCN</v>
      </c>
      <c r="D62" s="948">
        <f>Comparables!V13+RAND()/1000000</f>
        <v>32.623791701986676</v>
      </c>
      <c r="E62" s="949">
        <f>E61</f>
        <v>35.75876520930788</v>
      </c>
      <c r="F62" s="8"/>
      <c r="G62" s="8"/>
      <c r="H62" s="8"/>
      <c r="I62" s="8"/>
      <c r="J62" s="8"/>
      <c r="K62" s="8"/>
      <c r="L62" s="8"/>
      <c r="M62" s="8"/>
      <c r="N62" s="8"/>
      <c r="O62" s="765" t="str">
        <f>INDEX($C$61:$C$65,MATCH(P62,$D$61:$D$65,0),1)</f>
        <v>CWST</v>
      </c>
      <c r="P62" s="949">
        <f>LARGE($D$61:$D$65,B62)</f>
        <v>85.74878186199479</v>
      </c>
      <c r="Q62" s="949">
        <f>E62</f>
        <v>35.75876520930788</v>
      </c>
      <c r="R62" s="8"/>
      <c r="S62" s="8"/>
      <c r="T62" s="8"/>
      <c r="U62" s="8"/>
      <c r="V62" s="8"/>
      <c r="W62" s="8"/>
      <c r="X62" s="8"/>
      <c r="Y62" s="8"/>
      <c r="Z62" s="8"/>
    </row>
    <row r="63" ht="13.5" customHeight="1" spans="1:26" x14ac:dyDescent="0.25">
      <c r="A63" s="9"/>
      <c r="B63" s="8">
        <f>B62+1</f>
        <v>3</v>
      </c>
      <c r="C63" s="765" t="str">
        <f t="shared" si="2"/>
        <v>GFL</v>
      </c>
      <c r="D63" s="948">
        <f>Comparables!V14+RAND()/1000000</f>
        <v>91.14642340072703</v>
      </c>
      <c r="E63" s="949">
        <f>E62</f>
        <v>35.75876520930788</v>
      </c>
      <c r="F63" s="8"/>
      <c r="G63" s="8"/>
      <c r="H63" s="8"/>
      <c r="I63" s="8"/>
      <c r="J63" s="8"/>
      <c r="K63" s="8"/>
      <c r="L63" s="8"/>
      <c r="M63" s="8"/>
      <c r="N63" s="8"/>
      <c r="O63" s="765" t="str">
        <f>INDEX($C$61:$C$65,MATCH(P63,$D$61:$D$65,0),1)</f>
        <v>CLH</v>
      </c>
      <c r="P63" s="949">
        <f>LARGE($D$61:$D$65,B63)</f>
        <v>35.75876520930788</v>
      </c>
      <c r="Q63" s="949">
        <f>E63</f>
        <v>35.75876520930788</v>
      </c>
      <c r="R63" s="8"/>
      <c r="S63" s="8"/>
      <c r="T63" s="8"/>
      <c r="U63" s="8"/>
      <c r="V63" s="8"/>
      <c r="W63" s="8"/>
      <c r="X63" s="8"/>
      <c r="Y63" s="8"/>
      <c r="Z63" s="8"/>
    </row>
    <row r="64" ht="13.5" customHeight="1" spans="1:26" x14ac:dyDescent="0.25">
      <c r="A64" s="9"/>
      <c r="B64" s="8">
        <f>B63+1</f>
        <v>4</v>
      </c>
      <c r="C64" s="765" t="str">
        <f t="shared" si="2"/>
        <v>CWST</v>
      </c>
      <c r="D64" s="948">
        <f>Comparables!V15+RAND()/1000000</f>
        <v>85.74878186199479</v>
      </c>
      <c r="E64" s="949">
        <f>E63</f>
        <v>35.75876520930788</v>
      </c>
      <c r="F64" s="8"/>
      <c r="G64" s="8"/>
      <c r="H64" s="8"/>
      <c r="I64" s="8"/>
      <c r="J64" s="8"/>
      <c r="K64" s="8"/>
      <c r="L64" s="8"/>
      <c r="M64" s="8"/>
      <c r="N64" s="8"/>
      <c r="O64" s="765" t="str">
        <f>INDEX($C$61:$C$65,MATCH(P64,$D$61:$D$65,0),1)</f>
        <v>WCN</v>
      </c>
      <c r="P64" s="949">
        <f>LARGE($D$61:$D$65,B64)</f>
        <v>32.623791701986676</v>
      </c>
      <c r="Q64" s="949">
        <f>E64</f>
        <v>35.75876520930788</v>
      </c>
      <c r="R64" s="8"/>
      <c r="S64" s="8"/>
      <c r="T64" s="8"/>
      <c r="U64" s="8"/>
      <c r="V64" s="8"/>
      <c r="W64" s="8"/>
      <c r="X64" s="8"/>
      <c r="Y64" s="8"/>
      <c r="Z64" s="8"/>
    </row>
    <row r="65" ht="13.5" customHeight="1" spans="1:26" x14ac:dyDescent="0.25">
      <c r="A65" s="9"/>
      <c r="B65" s="8">
        <f>B64+1</f>
        <v>5</v>
      </c>
      <c r="C65" s="765" t="str">
        <f t="shared" si="2"/>
        <v>CLH</v>
      </c>
      <c r="D65" s="948">
        <f>Comparables!V16+RAND()/1000000</f>
        <v>35.75876520930788</v>
      </c>
      <c r="E65" s="949">
        <f>E64</f>
        <v>35.75876520930788</v>
      </c>
      <c r="F65" s="8"/>
      <c r="G65" s="8"/>
      <c r="H65" s="8"/>
      <c r="I65" s="8"/>
      <c r="J65" s="8"/>
      <c r="K65" s="8"/>
      <c r="L65" s="8"/>
      <c r="M65" s="8"/>
      <c r="N65" s="8"/>
      <c r="O65" s="765" t="str">
        <f>INDEX($C$61:$C$65,MATCH(P65,$D$61:$D$65,0),1)</f>
        <v>WM</v>
      </c>
      <c r="P65" s="949">
        <f>LARGE($D$61:$D$65,B65)</f>
        <v>27.696830065889344</v>
      </c>
      <c r="Q65" s="949">
        <f>E65</f>
        <v>35.75876520930788</v>
      </c>
      <c r="R65" s="8"/>
      <c r="S65" s="8"/>
      <c r="T65" s="8"/>
      <c r="U65" s="8"/>
      <c r="V65" s="8"/>
      <c r="W65" s="8"/>
      <c r="X65" s="8"/>
      <c r="Y65" s="8"/>
      <c r="Z65" s="8"/>
    </row>
    <row r="66" ht="13.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3.5" customHeight="1" spans="1:26" x14ac:dyDescent="0.25">
      <c r="A67" s="9"/>
      <c r="B67" s="8"/>
      <c r="C67" s="8"/>
      <c r="D67" s="8"/>
      <c r="E67" s="945" t="str">
        <f>"Median "&amp;TEXT(E61,"0.0x")</f>
        <v>Median 35.8x</v>
      </c>
      <c r="F67" s="8"/>
      <c r="G67" s="8"/>
      <c r="H67" s="8"/>
      <c r="I67" s="8"/>
      <c r="J67" s="8"/>
      <c r="K67" s="8"/>
      <c r="L67" s="8"/>
      <c r="M67" s="8"/>
      <c r="N67" s="8"/>
      <c r="O67" s="8"/>
      <c r="P67" s="8"/>
      <c r="Q67" s="945" t="str">
        <f>E67</f>
        <v>Median 35.8x</v>
      </c>
      <c r="R67" s="8"/>
      <c r="S67" s="8"/>
      <c r="T67" s="8"/>
      <c r="U67" s="8"/>
      <c r="V67" s="8"/>
      <c r="W67" s="8"/>
      <c r="X67" s="8"/>
      <c r="Y67" s="8"/>
      <c r="Z67" s="8"/>
    </row>
    <row r="68" ht="13.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3.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3.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3.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3.5" customHeight="1" spans="1:26" x14ac:dyDescent="0.25">
      <c r="A72" s="9" t="s">
        <v>3</v>
      </c>
      <c r="B72" s="8"/>
      <c r="C72" s="83" t="s">
        <v>1156</v>
      </c>
      <c r="D72" s="14"/>
      <c r="E72" s="14"/>
      <c r="F72" s="14"/>
      <c r="G72" s="14"/>
      <c r="H72" s="14"/>
      <c r="I72" s="14"/>
      <c r="J72" s="14"/>
      <c r="K72" s="14"/>
      <c r="L72" s="14"/>
      <c r="M72" s="14"/>
      <c r="N72" s="14"/>
      <c r="O72" s="14"/>
      <c r="P72" s="14"/>
      <c r="Q72" s="15"/>
      <c r="R72" s="8"/>
      <c r="S72" s="8"/>
      <c r="T72" s="8"/>
      <c r="U72" s="8"/>
      <c r="V72" s="8"/>
      <c r="W72" s="8"/>
      <c r="X72" s="8"/>
      <c r="Y72" s="8"/>
      <c r="Z72" s="8"/>
    </row>
    <row r="73" ht="13.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3.5" customHeight="1" spans="1:26" x14ac:dyDescent="0.25">
      <c r="A74" s="9"/>
      <c r="B74" s="8"/>
      <c r="C74" s="939" t="str">
        <f>C58</f>
        <v>Raw Data</v>
      </c>
      <c r="D74" s="103"/>
      <c r="E74" s="103"/>
      <c r="F74" s="40"/>
      <c r="G74" s="8"/>
      <c r="H74" s="8"/>
      <c r="I74" s="8"/>
      <c r="J74" s="8"/>
      <c r="K74" s="8"/>
      <c r="L74" s="8"/>
      <c r="M74" s="8"/>
      <c r="N74" s="8"/>
      <c r="O74" s="939" t="str">
        <f>O58</f>
        <v>Chart Data</v>
      </c>
      <c r="P74" s="103"/>
      <c r="Q74" s="103"/>
      <c r="R74" s="8"/>
      <c r="S74" s="8"/>
      <c r="T74" s="8"/>
      <c r="U74" s="8"/>
      <c r="V74" s="8"/>
      <c r="W74" s="8"/>
      <c r="X74" s="8"/>
      <c r="Y74" s="8"/>
      <c r="Z74" s="8"/>
    </row>
    <row r="75" ht="13.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3.5" customHeight="1" spans="1:26" x14ac:dyDescent="0.25">
      <c r="A76" s="9"/>
      <c r="B76" s="8"/>
      <c r="C76" s="940" t="str">
        <f t="shared" ref="C76:C81" si="3">C60</f>
        <v>RSG</v>
      </c>
      <c r="D76" s="946">
        <f>Comparables!N28</f>
        <v>2.53264</v>
      </c>
      <c r="E76" s="942"/>
      <c r="F76" s="8"/>
      <c r="G76" s="8"/>
      <c r="H76" s="8"/>
      <c r="I76" s="8"/>
      <c r="J76" s="8"/>
      <c r="K76" s="8"/>
      <c r="L76" s="8"/>
      <c r="M76" s="8"/>
      <c r="N76" s="8"/>
      <c r="O76" s="940" t="str">
        <f>C76</f>
        <v>RSG</v>
      </c>
      <c r="P76" s="947">
        <f>D76</f>
        <v>2.53264</v>
      </c>
      <c r="Q76" s="942"/>
      <c r="R76" s="8"/>
      <c r="S76" s="8"/>
      <c r="T76" s="8"/>
      <c r="U76" s="8"/>
      <c r="V76" s="8"/>
      <c r="W76" s="8"/>
      <c r="X76" s="8"/>
      <c r="Y76" s="8"/>
      <c r="Z76" s="8"/>
    </row>
    <row r="77" ht="13.5" customHeight="1" spans="1:26" x14ac:dyDescent="0.25">
      <c r="A77" s="9"/>
      <c r="B77" s="669">
        <v>1</v>
      </c>
      <c r="C77" s="765" t="str">
        <f t="shared" si="3"/>
        <v>WM</v>
      </c>
      <c r="D77" s="948">
        <f>Comparables!N30+RAND()/1000000</f>
        <v>3.0240304500180906</v>
      </c>
      <c r="E77" s="949">
        <f>MEDIAN(D77:D81)</f>
        <v>1.2541024469046096</v>
      </c>
      <c r="F77" s="8"/>
      <c r="G77" s="8"/>
      <c r="H77" s="8"/>
      <c r="I77" s="8"/>
      <c r="J77" s="8"/>
      <c r="K77" s="8"/>
      <c r="L77" s="8"/>
      <c r="M77" s="8"/>
      <c r="N77" s="8"/>
      <c r="O77" s="765" t="str">
        <f>INDEX($C$77:$C$81,MATCH(P77,$D$77:$D$81,0),1)</f>
        <v>WM</v>
      </c>
      <c r="P77" s="949">
        <f>LARGE($D$77:$D$81,B77)</f>
        <v>3.0240304500180906</v>
      </c>
      <c r="Q77" s="949">
        <f>E77</f>
        <v>1.2541024469046096</v>
      </c>
      <c r="R77" s="8"/>
      <c r="S77" s="8"/>
      <c r="T77" s="8"/>
      <c r="U77" s="8"/>
      <c r="V77" s="8"/>
      <c r="W77" s="8"/>
      <c r="X77" s="8"/>
      <c r="Y77" s="8"/>
      <c r="Z77" s="8"/>
    </row>
    <row r="78" ht="13.5" customHeight="1" spans="1:26" x14ac:dyDescent="0.25">
      <c r="A78" s="9"/>
      <c r="B78" s="8">
        <f>B77+1</f>
        <v>2</v>
      </c>
      <c r="C78" s="765" t="str">
        <f t="shared" si="3"/>
        <v>WCN</v>
      </c>
      <c r="D78" s="948">
        <f>Comparables!O31+RAND()/1000000</f>
        <v>1.0696722773678045</v>
      </c>
      <c r="E78" s="949">
        <f>E77</f>
        <v>1.2541024469046096</v>
      </c>
      <c r="F78" s="8"/>
      <c r="G78" s="8"/>
      <c r="H78" s="8"/>
      <c r="I78" s="8"/>
      <c r="J78" s="8"/>
      <c r="K78" s="8"/>
      <c r="L78" s="8"/>
      <c r="M78" s="8"/>
      <c r="N78" s="8"/>
      <c r="O78" s="765" t="str">
        <f>INDEX($C$77:$C$81,MATCH(P78,$D$77:$D$81,0),1)</f>
        <v>GFL</v>
      </c>
      <c r="P78" s="949">
        <f>LARGE($D$77:$D$81,B78)</f>
        <v>1.4607361987874241</v>
      </c>
      <c r="Q78" s="949">
        <f>E78</f>
        <v>1.2541024469046096</v>
      </c>
      <c r="R78" s="8"/>
      <c r="S78" s="8"/>
      <c r="T78" s="8"/>
      <c r="U78" s="8"/>
      <c r="V78" s="8"/>
      <c r="W78" s="8"/>
      <c r="X78" s="8"/>
      <c r="Y78" s="8"/>
      <c r="Z78" s="8"/>
    </row>
    <row r="79" ht="13.5" customHeight="1" spans="1:26" x14ac:dyDescent="0.25">
      <c r="A79" s="9"/>
      <c r="B79" s="8">
        <f>B78+1</f>
        <v>3</v>
      </c>
      <c r="C79" s="765" t="str">
        <f t="shared" si="3"/>
        <v>GFL</v>
      </c>
      <c r="D79" s="948">
        <f>Comparables!O32+RAND()/1000000</f>
        <v>1.4607361987874241</v>
      </c>
      <c r="E79" s="949">
        <f>E78</f>
        <v>1.2541024469046096</v>
      </c>
      <c r="F79" s="8"/>
      <c r="G79" s="8"/>
      <c r="H79" s="8"/>
      <c r="I79" s="8"/>
      <c r="J79" s="8"/>
      <c r="K79" s="8"/>
      <c r="L79" s="8"/>
      <c r="M79" s="8"/>
      <c r="N79" s="8"/>
      <c r="O79" s="765" t="str">
        <f>INDEX($C$77:$C$81,MATCH(P79,$D$77:$D$81,0),1)</f>
        <v>CLH</v>
      </c>
      <c r="P79" s="949">
        <f>LARGE($D$77:$D$81,B79)</f>
        <v>1.2541024469046096</v>
      </c>
      <c r="Q79" s="949">
        <f>E79</f>
        <v>1.2541024469046096</v>
      </c>
      <c r="R79" s="8"/>
      <c r="S79" s="8"/>
      <c r="T79" s="8"/>
      <c r="U79" s="8"/>
      <c r="V79" s="8"/>
      <c r="W79" s="8"/>
      <c r="X79" s="8"/>
      <c r="Y79" s="8"/>
      <c r="Z79" s="8"/>
    </row>
    <row r="80" ht="13.5" customHeight="1" spans="1:26" x14ac:dyDescent="0.25">
      <c r="A80" s="9"/>
      <c r="B80" s="8">
        <f>B79+1</f>
        <v>4</v>
      </c>
      <c r="C80" s="765" t="str">
        <f t="shared" si="3"/>
        <v>CWST</v>
      </c>
      <c r="D80" s="948">
        <f>Comparables!O33+RAND()/1000000</f>
        <v>0.7807668886849523</v>
      </c>
      <c r="E80" s="949">
        <f>E79</f>
        <v>1.2541024469046096</v>
      </c>
      <c r="F80" s="8"/>
      <c r="G80" s="8"/>
      <c r="H80" s="8"/>
      <c r="I80" s="8"/>
      <c r="J80" s="8"/>
      <c r="K80" s="8"/>
      <c r="L80" s="8"/>
      <c r="M80" s="8"/>
      <c r="N80" s="8"/>
      <c r="O80" s="765" t="str">
        <f>INDEX($C$77:$C$81,MATCH(P80,$D$77:$D$81,0),1)</f>
        <v>WCN</v>
      </c>
      <c r="P80" s="949">
        <f>LARGE($D$77:$D$81,B80)</f>
        <v>1.0696722773678045</v>
      </c>
      <c r="Q80" s="949">
        <f>E80</f>
        <v>1.2541024469046096</v>
      </c>
      <c r="R80" s="8"/>
      <c r="S80" s="8"/>
      <c r="T80" s="8"/>
      <c r="U80" s="8"/>
      <c r="V80" s="8"/>
      <c r="W80" s="8"/>
      <c r="X80" s="8"/>
      <c r="Y80" s="8"/>
      <c r="Z80" s="8"/>
    </row>
    <row r="81" ht="13.5" customHeight="1" spans="1:26" x14ac:dyDescent="0.25">
      <c r="A81" s="9"/>
      <c r="B81" s="8">
        <f>B80+1</f>
        <v>5</v>
      </c>
      <c r="C81" s="765" t="str">
        <f t="shared" si="3"/>
        <v>CLH</v>
      </c>
      <c r="D81" s="948">
        <f>Comparables!O34+RAND()/1000000</f>
        <v>1.2541024469046096</v>
      </c>
      <c r="E81" s="949">
        <f>E80</f>
        <v>1.2541024469046096</v>
      </c>
      <c r="F81" s="8"/>
      <c r="G81" s="8"/>
      <c r="H81" s="8"/>
      <c r="I81" s="8"/>
      <c r="J81" s="8"/>
      <c r="K81" s="8"/>
      <c r="L81" s="8"/>
      <c r="M81" s="8"/>
      <c r="N81" s="8"/>
      <c r="O81" s="765" t="str">
        <f>INDEX($C$77:$C$81,MATCH(P81,$D$77:$D$81,0),1)</f>
        <v>CWST</v>
      </c>
      <c r="P81" s="949">
        <f>LARGE($D$77:$D$81,B81)</f>
        <v>0.7807668886849523</v>
      </c>
      <c r="Q81" s="949">
        <f>E81</f>
        <v>1.2541024469046096</v>
      </c>
      <c r="R81" s="8"/>
      <c r="S81" s="8"/>
      <c r="T81" s="8"/>
      <c r="U81" s="8"/>
      <c r="V81" s="8"/>
      <c r="W81" s="8"/>
      <c r="X81" s="8"/>
      <c r="Y81" s="8"/>
      <c r="Z81" s="8"/>
    </row>
    <row r="82" ht="13.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3.5" customHeight="1" spans="1:26" x14ac:dyDescent="0.25">
      <c r="A83" s="9"/>
      <c r="B83" s="8"/>
      <c r="C83" s="8"/>
      <c r="D83" s="8"/>
      <c r="E83" s="945" t="str">
        <f>"Median "&amp;TEXT(E77,"0.0x")</f>
        <v>Median 1.3x</v>
      </c>
      <c r="F83" s="8"/>
      <c r="G83" s="8"/>
      <c r="H83" s="8"/>
      <c r="I83" s="8"/>
      <c r="J83" s="8"/>
      <c r="K83" s="8"/>
      <c r="L83" s="8"/>
      <c r="M83" s="8"/>
      <c r="N83" s="8"/>
      <c r="O83" s="8"/>
      <c r="P83" s="8"/>
      <c r="Q83" s="945" t="str">
        <f>E83</f>
        <v>Median 1.3x</v>
      </c>
      <c r="R83" s="8"/>
      <c r="S83" s="8"/>
      <c r="T83" s="8"/>
      <c r="U83" s="8"/>
      <c r="V83" s="8"/>
      <c r="W83" s="8"/>
      <c r="X83" s="8"/>
      <c r="Y83" s="8"/>
      <c r="Z83" s="8"/>
    </row>
    <row r="84" ht="13.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3.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3.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3.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3.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3.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3.5" customHeight="1" spans="1:26" x14ac:dyDescent="0.25">
      <c r="A90" s="9"/>
      <c r="B90" s="8"/>
      <c r="C90" s="939" t="str">
        <f>C74</f>
        <v>Raw Data</v>
      </c>
      <c r="D90" s="103"/>
      <c r="E90" s="103"/>
      <c r="F90" s="40"/>
      <c r="G90" s="8"/>
      <c r="H90" s="8"/>
      <c r="I90" s="8"/>
      <c r="J90" s="8"/>
      <c r="K90" s="8"/>
      <c r="L90" s="8"/>
      <c r="M90" s="8"/>
      <c r="N90" s="8"/>
      <c r="O90" s="939" t="str">
        <f>O74</f>
        <v>Chart Data</v>
      </c>
      <c r="P90" s="103"/>
      <c r="Q90" s="103"/>
      <c r="R90" s="8"/>
      <c r="S90" s="8"/>
      <c r="T90" s="8"/>
      <c r="U90" s="8"/>
      <c r="V90" s="8"/>
      <c r="W90" s="8"/>
      <c r="X90" s="8"/>
      <c r="Y90" s="8"/>
      <c r="Z90" s="8"/>
    </row>
    <row r="91" ht="13.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3.5" customHeight="1" spans="1:26" x14ac:dyDescent="0.25">
      <c r="A92" s="9"/>
      <c r="B92" s="8"/>
      <c r="C92" s="940" t="str">
        <f t="shared" ref="C92:C97" si="4">C76</f>
        <v>RSG</v>
      </c>
      <c r="D92" s="946">
        <f>Comparables!P28</f>
        <v>9.49165</v>
      </c>
      <c r="E92" s="942"/>
      <c r="F92" s="8"/>
      <c r="G92" s="8"/>
      <c r="H92" s="8"/>
      <c r="I92" s="8"/>
      <c r="J92" s="8"/>
      <c r="K92" s="8"/>
      <c r="L92" s="8"/>
      <c r="M92" s="8"/>
      <c r="N92" s="8"/>
      <c r="O92" s="940" t="str">
        <f>C92</f>
        <v>RSG</v>
      </c>
      <c r="P92" s="947">
        <f>D92</f>
        <v>9.49165</v>
      </c>
      <c r="Q92" s="942"/>
      <c r="R92" s="8"/>
      <c r="S92" s="8"/>
      <c r="T92" s="8"/>
      <c r="U92" s="8"/>
      <c r="V92" s="8"/>
      <c r="W92" s="8"/>
      <c r="X92" s="8"/>
      <c r="Y92" s="8"/>
      <c r="Z92" s="8"/>
    </row>
    <row r="93" ht="13.5" customHeight="1" spans="1:26" x14ac:dyDescent="0.25">
      <c r="A93" s="9"/>
      <c r="B93" s="669">
        <v>1</v>
      </c>
      <c r="C93" s="765" t="str">
        <f t="shared" si="4"/>
        <v>WM</v>
      </c>
      <c r="D93" s="948">
        <f>Comparables!P30+RAND()/1000000</f>
        <v>8.305920749995428</v>
      </c>
      <c r="E93" s="949">
        <f>MEDIAN(D93:D97)</f>
        <v>7.475760748629198</v>
      </c>
      <c r="F93" s="8"/>
      <c r="G93" s="8"/>
      <c r="H93" s="8"/>
      <c r="I93" s="8"/>
      <c r="J93" s="8"/>
      <c r="K93" s="8"/>
      <c r="L93" s="8"/>
      <c r="M93" s="8"/>
      <c r="N93" s="8"/>
      <c r="O93" s="765" t="str">
        <f>INDEX($C$93:$C$97,MATCH(P93,$D$93:$D$97,0),1)</f>
        <v>CLH</v>
      </c>
      <c r="P93" s="949">
        <f>LARGE($D$93:$D$97,B93)</f>
        <v>8.792330490008457</v>
      </c>
      <c r="Q93" s="949">
        <f>E93</f>
        <v>7.475760748629198</v>
      </c>
      <c r="R93" s="8"/>
      <c r="S93" s="8"/>
      <c r="T93" s="8"/>
      <c r="U93" s="8"/>
      <c r="V93" s="8"/>
      <c r="W93" s="8"/>
      <c r="X93" s="8"/>
      <c r="Y93" s="8"/>
      <c r="Z93" s="8"/>
    </row>
    <row r="94" ht="13.5" customHeight="1" spans="1:26" x14ac:dyDescent="0.25">
      <c r="A94" s="9"/>
      <c r="B94" s="8">
        <f>B93+1</f>
        <v>2</v>
      </c>
      <c r="C94" s="765" t="str">
        <f t="shared" si="4"/>
        <v>WCN</v>
      </c>
      <c r="D94" s="948">
        <f>Comparables!P31+RAND()/1000000</f>
        <v>7.475760748629198</v>
      </c>
      <c r="E94" s="949">
        <f>E93</f>
        <v>7.475760748629198</v>
      </c>
      <c r="F94" s="8"/>
      <c r="G94" s="8"/>
      <c r="H94" s="8"/>
      <c r="I94" s="8"/>
      <c r="J94" s="8"/>
      <c r="K94" s="8"/>
      <c r="L94" s="8"/>
      <c r="M94" s="8"/>
      <c r="N94" s="8"/>
      <c r="O94" s="765" t="str">
        <f>INDEX($C$93:$C$97,MATCH(P94,$D$93:$D$97,0),1)</f>
        <v>WM</v>
      </c>
      <c r="P94" s="949">
        <f>LARGE($D$93:$D$97,B94)</f>
        <v>8.305920749995428</v>
      </c>
      <c r="Q94" s="949">
        <f>E94</f>
        <v>7.475760748629198</v>
      </c>
      <c r="R94" s="8"/>
      <c r="S94" s="8"/>
      <c r="T94" s="8"/>
      <c r="U94" s="8"/>
      <c r="V94" s="8"/>
      <c r="W94" s="8"/>
      <c r="X94" s="8"/>
      <c r="Y94" s="8"/>
      <c r="Z94" s="8"/>
    </row>
    <row r="95" ht="13.5" customHeight="1" spans="1:26" x14ac:dyDescent="0.25">
      <c r="A95" s="9"/>
      <c r="B95" s="8">
        <f>B94+1</f>
        <v>3</v>
      </c>
      <c r="C95" s="765" t="str">
        <f t="shared" si="4"/>
        <v>GFL</v>
      </c>
      <c r="D95" s="948">
        <f>Comparables!P32+RAND()/1000000</f>
        <v>3.5000000715054607</v>
      </c>
      <c r="E95" s="949">
        <f>E94</f>
        <v>7.475760748629198</v>
      </c>
      <c r="F95" s="8"/>
      <c r="G95" s="8"/>
      <c r="H95" s="8"/>
      <c r="I95" s="8"/>
      <c r="J95" s="8"/>
      <c r="K95" s="8"/>
      <c r="L95" s="8"/>
      <c r="M95" s="8"/>
      <c r="N95" s="8"/>
      <c r="O95" s="765" t="str">
        <f>INDEX($C$93:$C$97,MATCH(P95,$D$93:$D$97,0),1)</f>
        <v>WCN</v>
      </c>
      <c r="P95" s="949">
        <f>LARGE($D$93:$D$97,B95)</f>
        <v>7.475760748629198</v>
      </c>
      <c r="Q95" s="949">
        <f>E95</f>
        <v>7.475760748629198</v>
      </c>
      <c r="R95" s="8"/>
      <c r="S95" s="8"/>
      <c r="T95" s="8"/>
      <c r="U95" s="8"/>
      <c r="V95" s="8"/>
      <c r="W95" s="8"/>
      <c r="X95" s="8"/>
      <c r="Y95" s="8"/>
      <c r="Z95" s="8"/>
    </row>
    <row r="96" ht="13.5" customHeight="1" spans="1:26" x14ac:dyDescent="0.25">
      <c r="A96" s="9"/>
      <c r="B96" s="8">
        <f>B95+1</f>
        <v>4</v>
      </c>
      <c r="C96" s="765" t="str">
        <f t="shared" si="4"/>
        <v>CWST</v>
      </c>
      <c r="D96" s="948">
        <f>Comparables!P33+RAND()/1000000</f>
        <v>5.886140114115886</v>
      </c>
      <c r="E96" s="949">
        <f>E95</f>
        <v>7.475760748629198</v>
      </c>
      <c r="F96" s="8"/>
      <c r="G96" s="8"/>
      <c r="H96" s="8"/>
      <c r="I96" s="8"/>
      <c r="J96" s="8"/>
      <c r="K96" s="8"/>
      <c r="L96" s="8"/>
      <c r="M96" s="8"/>
      <c r="N96" s="8"/>
      <c r="O96" s="765" t="str">
        <f>INDEX($C$93:$C$97,MATCH(P96,$D$93:$D$97,0),1)</f>
        <v>CWST</v>
      </c>
      <c r="P96" s="949">
        <f>LARGE($D$93:$D$97,B96)</f>
        <v>5.886140114115886</v>
      </c>
      <c r="Q96" s="949">
        <f>E96</f>
        <v>7.475760748629198</v>
      </c>
      <c r="R96" s="8"/>
      <c r="S96" s="8"/>
      <c r="T96" s="8"/>
      <c r="U96" s="8"/>
      <c r="V96" s="8"/>
      <c r="W96" s="8"/>
      <c r="X96" s="8"/>
      <c r="Y96" s="8"/>
      <c r="Z96" s="8"/>
    </row>
    <row r="97" ht="13.5" customHeight="1" spans="1:26" x14ac:dyDescent="0.25">
      <c r="A97" s="9"/>
      <c r="B97" s="8">
        <f>B96+1</f>
        <v>5</v>
      </c>
      <c r="C97" s="765" t="str">
        <f t="shared" si="4"/>
        <v>CLH</v>
      </c>
      <c r="D97" s="948">
        <f>Comparables!P34+RAND()/1000000</f>
        <v>8.792330490008457</v>
      </c>
      <c r="E97" s="949">
        <f>E96</f>
        <v>7.475760748629198</v>
      </c>
      <c r="F97" s="8"/>
      <c r="G97" s="8"/>
      <c r="H97" s="8"/>
      <c r="I97" s="8"/>
      <c r="J97" s="8"/>
      <c r="K97" s="8"/>
      <c r="L97" s="8"/>
      <c r="M97" s="8"/>
      <c r="N97" s="8"/>
      <c r="O97" s="765" t="str">
        <f>INDEX($C$93:$C$97,MATCH(P97,$D$93:$D$97,0),1)</f>
        <v>GFL</v>
      </c>
      <c r="P97" s="949">
        <f>LARGE($D$93:$D$97,B97)</f>
        <v>3.5000000715054607</v>
      </c>
      <c r="Q97" s="949">
        <f>E97</f>
        <v>7.475760748629198</v>
      </c>
      <c r="R97" s="8"/>
      <c r="S97" s="8"/>
      <c r="T97" s="8"/>
      <c r="U97" s="8"/>
      <c r="V97" s="8"/>
      <c r="W97" s="8"/>
      <c r="X97" s="8"/>
      <c r="Y97" s="8"/>
      <c r="Z97" s="8"/>
    </row>
    <row r="98" ht="13.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3.5" customHeight="1" spans="1:26" x14ac:dyDescent="0.25">
      <c r="A99" s="9"/>
      <c r="B99" s="8"/>
      <c r="C99" s="8"/>
      <c r="D99" s="8"/>
      <c r="E99" s="945" t="str">
        <f>"Median "&amp;TEXT(E93,"0.0x")</f>
        <v>Median 7.5x</v>
      </c>
      <c r="F99" s="8"/>
      <c r="G99" s="8"/>
      <c r="H99" s="8"/>
      <c r="I99" s="8"/>
      <c r="J99" s="8"/>
      <c r="K99" s="8"/>
      <c r="L99" s="8"/>
      <c r="M99" s="8"/>
      <c r="N99" s="8"/>
      <c r="O99" s="8"/>
      <c r="P99" s="8"/>
      <c r="Q99" s="945" t="str">
        <f>E99</f>
        <v>Median 7.5x</v>
      </c>
      <c r="R99" s="8"/>
      <c r="S99" s="8"/>
      <c r="T99" s="8"/>
      <c r="U99" s="8"/>
      <c r="V99" s="8"/>
      <c r="W99" s="8"/>
      <c r="X99" s="8"/>
      <c r="Y99" s="8"/>
      <c r="Z99" s="8"/>
    </row>
    <row r="100" ht="13.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spans="1:26" x14ac:dyDescent="0.25">
      <c r="A104" s="9" t="s">
        <v>3</v>
      </c>
      <c r="B104" s="8"/>
      <c r="C104" s="83" t="s">
        <v>1157</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3.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spans="1:26" x14ac:dyDescent="0.25">
      <c r="A106" s="9"/>
      <c r="B106" s="8"/>
      <c r="C106" s="939" t="str">
        <f>C90</f>
        <v>Raw Data</v>
      </c>
      <c r="D106" s="103"/>
      <c r="E106" s="103"/>
      <c r="F106" s="40"/>
      <c r="G106" s="8"/>
      <c r="H106" s="8"/>
      <c r="I106" s="8"/>
      <c r="J106" s="8"/>
      <c r="K106" s="8"/>
      <c r="L106" s="8"/>
      <c r="M106" s="8"/>
      <c r="N106" s="8"/>
      <c r="O106" s="939" t="str">
        <f>O90</f>
        <v>Chart Data</v>
      </c>
      <c r="P106" s="103"/>
      <c r="Q106" s="103"/>
      <c r="R106" s="8"/>
      <c r="S106" s="8"/>
      <c r="T106" s="8"/>
      <c r="U106" s="8"/>
      <c r="V106" s="8"/>
      <c r="W106" s="8"/>
      <c r="X106" s="8"/>
      <c r="Y106" s="8"/>
      <c r="Z106" s="8"/>
    </row>
    <row r="107" ht="13.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spans="1:26" x14ac:dyDescent="0.25">
      <c r="A108" s="9"/>
      <c r="B108" s="8"/>
      <c r="C108" s="940" t="str">
        <f t="shared" ref="C108:C113" si="5">C92</f>
        <v>RSG</v>
      </c>
      <c r="D108" s="941">
        <f>Comparables!M10</f>
        <v>0.312689</v>
      </c>
      <c r="E108" s="942"/>
      <c r="F108" s="8"/>
      <c r="G108" s="8"/>
      <c r="H108" s="8"/>
      <c r="I108" s="8"/>
      <c r="J108" s="8"/>
      <c r="K108" s="8"/>
      <c r="L108" s="8"/>
      <c r="M108" s="8"/>
      <c r="N108" s="8"/>
      <c r="O108" s="940" t="str">
        <f>C108</f>
        <v>RSG</v>
      </c>
      <c r="P108" s="942">
        <f>D108</f>
        <v>0.312689</v>
      </c>
      <c r="Q108" s="942"/>
      <c r="R108" s="8"/>
      <c r="S108" s="8"/>
      <c r="T108" s="8"/>
      <c r="U108" s="8"/>
      <c r="V108" s="8"/>
      <c r="W108" s="8"/>
      <c r="X108" s="8"/>
      <c r="Y108" s="8"/>
      <c r="Z108" s="8"/>
    </row>
    <row r="109" ht="13.5" customHeight="1" spans="1:26" x14ac:dyDescent="0.25">
      <c r="A109" s="9"/>
      <c r="B109" s="669">
        <v>1</v>
      </c>
      <c r="C109" s="765" t="str">
        <f t="shared" si="5"/>
        <v>WM</v>
      </c>
      <c r="D109" s="943">
        <f>Comparables!M12+RAND()/1000000</f>
        <v>0.3005475104296729</v>
      </c>
      <c r="E109" s="944">
        <f>MEDIAN(D109:D113)</f>
        <v>0.22857738575284514</v>
      </c>
      <c r="F109" s="8"/>
      <c r="G109" s="8"/>
      <c r="H109" s="8"/>
      <c r="I109" s="8"/>
      <c r="J109" s="8"/>
      <c r="K109" s="8"/>
      <c r="L109" s="8"/>
      <c r="M109" s="8"/>
      <c r="N109" s="8"/>
      <c r="O109" s="765" t="str">
        <f>INDEX($C$109:$C$113,MATCH(P109,$D$109:$D$113,0),1)</f>
        <v>WM</v>
      </c>
      <c r="P109" s="944">
        <f>LARGE($D$109:$D$113,B109)</f>
        <v>0.3005475104296729</v>
      </c>
      <c r="Q109" s="944">
        <f>E109</f>
        <v>0.22857738575284514</v>
      </c>
      <c r="R109" s="8"/>
      <c r="S109" s="8"/>
      <c r="T109" s="8"/>
      <c r="U109" s="8"/>
      <c r="V109" s="8"/>
      <c r="W109" s="8"/>
      <c r="X109" s="8"/>
      <c r="Y109" s="8"/>
      <c r="Z109" s="8"/>
    </row>
    <row r="110" ht="13.5" customHeight="1" spans="1:26" x14ac:dyDescent="0.25">
      <c r="A110" s="9"/>
      <c r="B110" s="8">
        <f>B109+1</f>
        <v>2</v>
      </c>
      <c r="C110" s="765" t="str">
        <f t="shared" si="5"/>
        <v>WCN</v>
      </c>
      <c r="D110" s="943">
        <f>Comparables!M13+RAND()/1000000</f>
        <v>0.2679363106493481</v>
      </c>
      <c r="E110" s="944">
        <f>E109</f>
        <v>0.22857738575284514</v>
      </c>
      <c r="F110" s="8"/>
      <c r="G110" s="8"/>
      <c r="H110" s="8"/>
      <c r="I110" s="8"/>
      <c r="J110" s="8"/>
      <c r="K110" s="8"/>
      <c r="L110" s="8"/>
      <c r="M110" s="8"/>
      <c r="N110" s="8"/>
      <c r="O110" s="765" t="str">
        <f>INDEX($C$109:$C$113,MATCH(P110,$D$109:$D$113,0),1)</f>
        <v>WCN</v>
      </c>
      <c r="P110" s="944">
        <f>LARGE($D$109:$D$113,B110)</f>
        <v>0.2679363106493481</v>
      </c>
      <c r="Q110" s="944">
        <f>E110</f>
        <v>0.22857738575284514</v>
      </c>
      <c r="R110" s="8"/>
      <c r="S110" s="8"/>
      <c r="T110" s="8"/>
      <c r="U110" s="8"/>
      <c r="V110" s="8"/>
      <c r="W110" s="8"/>
      <c r="X110" s="8"/>
      <c r="Y110" s="8"/>
      <c r="Z110" s="8"/>
    </row>
    <row r="111" ht="13.5" customHeight="1" spans="1:26" x14ac:dyDescent="0.25">
      <c r="A111" s="9"/>
      <c r="B111" s="8">
        <f>B110+1</f>
        <v>3</v>
      </c>
      <c r="C111" s="765" t="str">
        <f t="shared" si="5"/>
        <v>GFL</v>
      </c>
      <c r="D111" s="943">
        <f>Comparables!M14+RAND()/1000000</f>
        <v>0.22857738575284514</v>
      </c>
      <c r="E111" s="944">
        <f>E110</f>
        <v>0.22857738575284514</v>
      </c>
      <c r="F111" s="8"/>
      <c r="G111" s="8"/>
      <c r="H111" s="8"/>
      <c r="I111" s="8"/>
      <c r="J111" s="8"/>
      <c r="K111" s="8"/>
      <c r="L111" s="8"/>
      <c r="M111" s="8"/>
      <c r="N111" s="8"/>
      <c r="O111" s="765" t="str">
        <f>INDEX($C$109:$C$113,MATCH(P111,$D$109:$D$113,0),1)</f>
        <v>GFL</v>
      </c>
      <c r="P111" s="944">
        <f>LARGE($D$109:$D$113,B111)</f>
        <v>0.22857738575284514</v>
      </c>
      <c r="Q111" s="944">
        <f>E111</f>
        <v>0.22857738575284514</v>
      </c>
      <c r="R111" s="8"/>
      <c r="S111" s="8"/>
      <c r="T111" s="8"/>
      <c r="U111" s="8"/>
      <c r="V111" s="8"/>
      <c r="W111" s="8"/>
      <c r="X111" s="8"/>
      <c r="Y111" s="8"/>
      <c r="Z111" s="8"/>
    </row>
    <row r="112" ht="13.5" customHeight="1" spans="1:26" x14ac:dyDescent="0.25">
      <c r="A112" s="9"/>
      <c r="B112" s="8">
        <f>B111+1</f>
        <v>4</v>
      </c>
      <c r="C112" s="765" t="str">
        <f t="shared" si="5"/>
        <v>CWST</v>
      </c>
      <c r="D112" s="943">
        <f>Comparables!M15+RAND()/1000000</f>
        <v>0.21465247255566797</v>
      </c>
      <c r="E112" s="944">
        <f>E111</f>
        <v>0.22857738575284514</v>
      </c>
      <c r="F112" s="8"/>
      <c r="G112" s="8"/>
      <c r="H112" s="8"/>
      <c r="I112" s="8"/>
      <c r="J112" s="8"/>
      <c r="K112" s="8"/>
      <c r="L112" s="8"/>
      <c r="M112" s="8"/>
      <c r="N112" s="8"/>
      <c r="O112" s="765" t="str">
        <f>INDEX($C$109:$C$113,MATCH(P112,$D$109:$D$113,0),1)</f>
        <v>CWST</v>
      </c>
      <c r="P112" s="944">
        <f>LARGE($D$109:$D$113,B112)</f>
        <v>0.21465247255566797</v>
      </c>
      <c r="Q112" s="944">
        <f>E112</f>
        <v>0.22857738575284514</v>
      </c>
      <c r="R112" s="8"/>
      <c r="S112" s="8"/>
      <c r="T112" s="8"/>
      <c r="U112" s="8"/>
      <c r="V112" s="8"/>
      <c r="W112" s="8"/>
      <c r="X112" s="8"/>
      <c r="Y112" s="8"/>
      <c r="Z112" s="8"/>
    </row>
    <row r="113" ht="13.5" customHeight="1" spans="1:26" x14ac:dyDescent="0.25">
      <c r="A113" s="9"/>
      <c r="B113" s="8">
        <f>B112+1</f>
        <v>5</v>
      </c>
      <c r="C113" s="765" t="str">
        <f t="shared" si="5"/>
        <v>CLH</v>
      </c>
      <c r="D113" s="943">
        <f>Comparables!M16+RAND()/1000000</f>
        <v>0.18452396676645053</v>
      </c>
      <c r="E113" s="944">
        <f>E112</f>
        <v>0.22857738575284514</v>
      </c>
      <c r="F113" s="8"/>
      <c r="G113" s="8"/>
      <c r="H113" s="8"/>
      <c r="I113" s="8"/>
      <c r="J113" s="8"/>
      <c r="K113" s="8"/>
      <c r="L113" s="8"/>
      <c r="M113" s="8"/>
      <c r="N113" s="8"/>
      <c r="O113" s="765" t="str">
        <f>INDEX($C$109:$C$113,MATCH(P113,$D$109:$D$113,0),1)</f>
        <v>CLH</v>
      </c>
      <c r="P113" s="944">
        <f>LARGE($D$109:$D$113,B113)</f>
        <v>0.18452396676645053</v>
      </c>
      <c r="Q113" s="944">
        <f>E113</f>
        <v>0.22857738575284514</v>
      </c>
      <c r="R113" s="8"/>
      <c r="S113" s="8"/>
      <c r="T113" s="8"/>
      <c r="U113" s="8"/>
      <c r="V113" s="8"/>
      <c r="W113" s="8"/>
      <c r="X113" s="8"/>
      <c r="Y113" s="8"/>
      <c r="Z113" s="8"/>
    </row>
    <row r="114" ht="13.5" customHeight="1" spans="1:26" x14ac:dyDescent="0.25">
      <c r="A114" s="9"/>
      <c r="B114" s="8"/>
      <c r="C114" s="8"/>
      <c r="D114" s="8"/>
      <c r="E114" s="160"/>
      <c r="F114" s="8"/>
      <c r="G114" s="8"/>
      <c r="H114" s="8"/>
      <c r="I114" s="8"/>
      <c r="J114" s="8"/>
      <c r="K114" s="8"/>
      <c r="L114" s="8"/>
      <c r="M114" s="8"/>
      <c r="N114" s="8"/>
      <c r="O114" s="8"/>
      <c r="P114" s="8"/>
      <c r="Q114" s="8"/>
      <c r="R114" s="8"/>
      <c r="S114" s="8"/>
      <c r="T114" s="8"/>
      <c r="U114" s="8"/>
      <c r="V114" s="8"/>
      <c r="W114" s="8"/>
      <c r="X114" s="8"/>
      <c r="Y114" s="8"/>
      <c r="Z114" s="8"/>
    </row>
    <row r="115" ht="13.5" customHeight="1" spans="1:26" x14ac:dyDescent="0.25">
      <c r="A115" s="9"/>
      <c r="B115" s="8"/>
      <c r="C115" s="8"/>
      <c r="D115" s="8"/>
      <c r="E115" s="945" t="str">
        <f>"Median "&amp;TEXT(E109,"0.0%")</f>
        <v>Median 22.9%</v>
      </c>
      <c r="F115" s="8"/>
      <c r="G115" s="8"/>
      <c r="H115" s="8"/>
      <c r="I115" s="8"/>
      <c r="J115" s="8"/>
      <c r="K115" s="8"/>
      <c r="L115" s="8"/>
      <c r="M115" s="8"/>
      <c r="N115" s="8"/>
      <c r="O115" s="8"/>
      <c r="P115" s="8"/>
      <c r="Q115" s="945" t="str">
        <f>E115</f>
        <v>Median 22.9%</v>
      </c>
      <c r="R115" s="8"/>
      <c r="S115" s="8"/>
      <c r="T115" s="8"/>
      <c r="U115" s="8"/>
      <c r="V115" s="8"/>
      <c r="W115" s="8"/>
      <c r="X115" s="8"/>
      <c r="Y115" s="8"/>
      <c r="Z115" s="8"/>
    </row>
    <row r="116" ht="13.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3.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spans="1:26" x14ac:dyDescent="0.25">
      <c r="A122" s="9"/>
      <c r="B122" s="8"/>
      <c r="C122" s="939" t="str">
        <f>C106</f>
        <v>Raw Data</v>
      </c>
      <c r="D122" s="103"/>
      <c r="E122" s="103"/>
      <c r="F122" s="40"/>
      <c r="G122" s="8"/>
      <c r="H122" s="8"/>
      <c r="I122" s="8"/>
      <c r="J122" s="8"/>
      <c r="K122" s="8"/>
      <c r="L122" s="8"/>
      <c r="M122" s="8"/>
      <c r="N122" s="8"/>
      <c r="O122" s="939" t="str">
        <f>O106</f>
        <v>Chart Data</v>
      </c>
      <c r="P122" s="103"/>
      <c r="Q122" s="103"/>
      <c r="R122" s="8"/>
      <c r="S122" s="8"/>
      <c r="T122" s="8"/>
      <c r="U122" s="8"/>
      <c r="V122" s="8"/>
      <c r="W122" s="8"/>
      <c r="X122" s="8"/>
      <c r="Y122" s="8"/>
      <c r="Z122" s="8"/>
    </row>
    <row r="123" ht="13.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spans="1:26" x14ac:dyDescent="0.25">
      <c r="A124" s="9"/>
      <c r="B124" s="8"/>
      <c r="C124" s="940" t="str">
        <f t="shared" ref="C124:C129" si="6">C108</f>
        <v>RSG</v>
      </c>
      <c r="D124" s="941">
        <f>Comparables!I28</f>
        <v>0.011457</v>
      </c>
      <c r="E124" s="942"/>
      <c r="F124" s="8"/>
      <c r="G124" s="8"/>
      <c r="H124" s="8"/>
      <c r="I124" s="8"/>
      <c r="J124" s="8"/>
      <c r="K124" s="8"/>
      <c r="L124" s="8"/>
      <c r="M124" s="8"/>
      <c r="N124" s="8"/>
      <c r="O124" s="940" t="str">
        <f>C124</f>
        <v>RSG</v>
      </c>
      <c r="P124" s="942">
        <f>D124</f>
        <v>0.011457</v>
      </c>
      <c r="Q124" s="942"/>
      <c r="R124" s="8"/>
      <c r="S124" s="8"/>
      <c r="T124" s="8"/>
      <c r="U124" s="8"/>
      <c r="V124" s="8"/>
      <c r="W124" s="8"/>
      <c r="X124" s="8"/>
      <c r="Y124" s="8"/>
      <c r="Z124" s="8"/>
    </row>
    <row r="125" ht="13.5" customHeight="1" spans="1:26" x14ac:dyDescent="0.25">
      <c r="A125" s="9"/>
      <c r="B125" s="669">
        <v>1</v>
      </c>
      <c r="C125" s="765" t="str">
        <f t="shared" si="6"/>
        <v>WM</v>
      </c>
      <c r="D125" s="943">
        <f>Comparables!I30</f>
        <v>0.014574</v>
      </c>
      <c r="E125" s="944">
        <f>MEDIAN(D125:D129)</f>
        <v>0.001446</v>
      </c>
      <c r="F125" s="8"/>
      <c r="G125" s="8"/>
      <c r="H125" s="8"/>
      <c r="I125" s="8"/>
      <c r="J125" s="8"/>
      <c r="K125" s="8"/>
      <c r="L125" s="8"/>
      <c r="M125" s="8"/>
      <c r="N125" s="8"/>
      <c r="O125" s="765" t="str">
        <f>INDEX($C$125:$C$129,MATCH(P125,$D$125:$D$129,0),1)</f>
        <v>WM</v>
      </c>
      <c r="P125" s="944">
        <f>LARGE($D$125:$D$129,B125)</f>
        <v>0.014574</v>
      </c>
      <c r="Q125" s="944">
        <f>E125</f>
        <v>0.001446</v>
      </c>
      <c r="R125" s="8"/>
      <c r="S125" s="8"/>
      <c r="T125" s="8"/>
      <c r="U125" s="8"/>
      <c r="V125" s="8"/>
      <c r="W125" s="8"/>
      <c r="X125" s="8"/>
      <c r="Y125" s="8"/>
      <c r="Z125" s="8"/>
    </row>
    <row r="126" ht="13.5" customHeight="1" spans="1:26" x14ac:dyDescent="0.25">
      <c r="A126" s="9"/>
      <c r="B126" s="8">
        <f>B125+1</f>
        <v>2</v>
      </c>
      <c r="C126" s="765" t="str">
        <f t="shared" si="6"/>
        <v>WCN</v>
      </c>
      <c r="D126" s="943">
        <f>IF(ISNUMBER(Comparables!I31),Comparables!I31,0)</f>
        <v>0.007443</v>
      </c>
      <c r="E126" s="944">
        <f>E125</f>
        <v>0.001446</v>
      </c>
      <c r="F126" s="8"/>
      <c r="G126" s="8"/>
      <c r="H126" s="8"/>
      <c r="I126" s="8"/>
      <c r="J126" s="8"/>
      <c r="K126" s="8"/>
      <c r="L126" s="8"/>
      <c r="M126" s="8"/>
      <c r="N126" s="8"/>
      <c r="O126" s="765" t="str">
        <f>INDEX($C$125:$C$129,MATCH(P126,$D$125:$D$129,0),1)</f>
        <v>WCN</v>
      </c>
      <c r="P126" s="944">
        <f>LARGE($D$125:$D$129,B126)</f>
        <v>0.007443</v>
      </c>
      <c r="Q126" s="944">
        <f>E126</f>
        <v>0.001446</v>
      </c>
      <c r="R126" s="8"/>
      <c r="S126" s="8"/>
      <c r="T126" s="8"/>
      <c r="U126" s="8"/>
      <c r="V126" s="8"/>
      <c r="W126" s="8"/>
      <c r="X126" s="8"/>
      <c r="Y126" s="8"/>
      <c r="Z126" s="8"/>
    </row>
    <row r="127" ht="13.5" customHeight="1" spans="1:26" x14ac:dyDescent="0.25">
      <c r="A127" s="9"/>
      <c r="B127" s="8">
        <f>B126+1</f>
        <v>3</v>
      </c>
      <c r="C127" s="765" t="str">
        <f t="shared" si="6"/>
        <v>GFL</v>
      </c>
      <c r="D127" s="943">
        <f>Comparables!I32</f>
        <v>0.001446</v>
      </c>
      <c r="E127" s="944">
        <f>E126</f>
        <v>0.001446</v>
      </c>
      <c r="F127" s="8"/>
      <c r="G127" s="8"/>
      <c r="H127" s="8"/>
      <c r="I127" s="8"/>
      <c r="J127" s="8"/>
      <c r="K127" s="8"/>
      <c r="L127" s="8"/>
      <c r="M127" s="8"/>
      <c r="N127" s="8"/>
      <c r="O127" s="765" t="str">
        <f>INDEX($C$125:$C$129,MATCH(P127,$D$125:$D$129,0),1)</f>
        <v>GFL</v>
      </c>
      <c r="P127" s="944">
        <f>LARGE($D$125:$D$129,B127)</f>
        <v>0.001446</v>
      </c>
      <c r="Q127" s="944">
        <f>E127</f>
        <v>0.001446</v>
      </c>
      <c r="R127" s="8"/>
      <c r="S127" s="8"/>
      <c r="T127" s="8"/>
      <c r="U127" s="8"/>
      <c r="V127" s="8"/>
      <c r="W127" s="8"/>
      <c r="X127" s="8"/>
      <c r="Y127" s="8"/>
      <c r="Z127" s="8"/>
    </row>
    <row r="128" ht="13.5" customHeight="1" spans="1:26" x14ac:dyDescent="0.25">
      <c r="A128" s="9"/>
      <c r="B128" s="8">
        <f>B127+1</f>
        <v>4</v>
      </c>
      <c r="C128" s="765" t="str">
        <f t="shared" si="6"/>
        <v>CWST</v>
      </c>
      <c r="D128" s="943">
        <f>Comparables!I33</f>
        <v>0</v>
      </c>
      <c r="E128" s="944">
        <f>E127</f>
        <v>0.001446</v>
      </c>
      <c r="F128" s="8"/>
      <c r="G128" s="8"/>
      <c r="H128" s="8"/>
      <c r="I128" s="8"/>
      <c r="J128" s="8"/>
      <c r="K128" s="8"/>
      <c r="L128" s="8"/>
      <c r="M128" s="8"/>
      <c r="N128" s="8"/>
      <c r="O128" s="765" t="str">
        <f>INDEX($C$125:$C$129,MATCH(P128,$D$125:$D$129,0),1)</f>
        <v>CWST</v>
      </c>
      <c r="P128" s="944">
        <f>LARGE($D$125:$D$129,B128)</f>
        <v>0</v>
      </c>
      <c r="Q128" s="944">
        <f>E128</f>
        <v>0.001446</v>
      </c>
      <c r="R128" s="8"/>
      <c r="S128" s="8"/>
      <c r="T128" s="8"/>
      <c r="U128" s="8"/>
      <c r="V128" s="8"/>
      <c r="W128" s="8"/>
      <c r="X128" s="8"/>
      <c r="Y128" s="8"/>
      <c r="Z128" s="8"/>
    </row>
    <row r="129" ht="13.5" customHeight="1" spans="1:26" x14ac:dyDescent="0.25">
      <c r="A129" s="9"/>
      <c r="B129" s="8">
        <f>B128+1</f>
        <v>5</v>
      </c>
      <c r="C129" s="765" t="str">
        <f t="shared" si="6"/>
        <v>CLH</v>
      </c>
      <c r="D129" s="943">
        <f>Comparables!I34</f>
        <v>0</v>
      </c>
      <c r="E129" s="944">
        <f>E128</f>
        <v>0.001446</v>
      </c>
      <c r="F129" s="8"/>
      <c r="G129" s="8"/>
      <c r="H129" s="8"/>
      <c r="I129" s="8"/>
      <c r="J129" s="8"/>
      <c r="K129" s="8"/>
      <c r="L129" s="8"/>
      <c r="M129" s="8"/>
      <c r="N129" s="8"/>
      <c r="O129" s="765" t="str">
        <f>INDEX($C$125:$C$129,MATCH(P129,$D$125:$D$129,0),1)</f>
        <v>CWST</v>
      </c>
      <c r="P129" s="944">
        <f>LARGE($D$125:$D$129,B129)</f>
        <v>0</v>
      </c>
      <c r="Q129" s="944">
        <f>E129</f>
        <v>0.001446</v>
      </c>
      <c r="R129" s="8"/>
      <c r="S129" s="8"/>
      <c r="T129" s="8"/>
      <c r="U129" s="8"/>
      <c r="V129" s="8"/>
      <c r="W129" s="8"/>
      <c r="X129" s="8"/>
      <c r="Y129" s="8"/>
      <c r="Z129" s="8"/>
    </row>
    <row r="130" ht="13.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spans="1:26" x14ac:dyDescent="0.25">
      <c r="A131" s="9"/>
      <c r="B131" s="8"/>
      <c r="C131" s="8"/>
      <c r="D131" s="8"/>
      <c r="E131" s="945" t="str">
        <f>"Median "&amp;TEXT(E125,"0.0%")</f>
        <v>Median 0.1%</v>
      </c>
      <c r="F131" s="8"/>
      <c r="G131" s="8"/>
      <c r="H131" s="8"/>
      <c r="I131" s="8"/>
      <c r="J131" s="8"/>
      <c r="K131" s="8"/>
      <c r="L131" s="8"/>
      <c r="M131" s="8"/>
      <c r="N131" s="8"/>
      <c r="O131" s="8"/>
      <c r="P131" s="8"/>
      <c r="Q131" s="945" t="str">
        <f>E131</f>
        <v>Median 0.1%</v>
      </c>
      <c r="R131" s="8"/>
      <c r="S131" s="8"/>
      <c r="T131" s="8"/>
      <c r="U131" s="8"/>
      <c r="V131" s="8"/>
      <c r="W131" s="8"/>
      <c r="X131" s="8"/>
      <c r="Y131" s="8"/>
      <c r="Z131" s="8"/>
    </row>
    <row r="132" ht="13.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spans="1:26" x14ac:dyDescent="0.25">
      <c r="A136" s="9" t="s">
        <v>3</v>
      </c>
      <c r="B136" s="8"/>
      <c r="C136" s="83" t="s">
        <v>1158</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939" t="str">
        <f>C122</f>
        <v>Raw Data</v>
      </c>
      <c r="D138" s="103"/>
      <c r="E138" s="103"/>
      <c r="F138" s="4"/>
      <c r="G138" s="4"/>
      <c r="H138" s="4"/>
      <c r="I138" s="4"/>
      <c r="J138" s="4"/>
      <c r="K138" s="4"/>
      <c r="L138" s="4"/>
      <c r="M138" s="4"/>
      <c r="N138" s="4"/>
      <c r="O138" s="939" t="str">
        <f>O122</f>
        <v>Chart Data</v>
      </c>
      <c r="P138" s="103"/>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3.5" customHeight="1" spans="1:26" x14ac:dyDescent="0.25">
      <c r="A140" s="4"/>
      <c r="B140" s="4">
        <v>1</v>
      </c>
      <c r="C140" s="940" t="str">
        <f t="shared" ref="C140:C145" si="7">C124</f>
        <v>RSG</v>
      </c>
      <c r="D140" s="950">
        <v>-0.264</v>
      </c>
      <c r="E140" s="4"/>
      <c r="F140" s="4"/>
      <c r="G140" s="4"/>
      <c r="H140" s="4"/>
      <c r="I140" s="4"/>
      <c r="J140" s="4"/>
      <c r="K140" s="4"/>
      <c r="L140" s="4"/>
      <c r="M140" s="4"/>
      <c r="N140" s="4"/>
      <c r="O140" s="765" t="str">
        <f t="shared" ref="O140:O145" si="8">INDEX($C$140:$C$145,MATCH(P140,$D$140:$D$145,0),1)</f>
        <v>CWST</v>
      </c>
      <c r="P140" s="944">
        <f t="shared" ref="P140:P145" si="9">LARGE($D$140:$D$145,B140)</f>
        <v>0.1212</v>
      </c>
      <c r="Q140" s="4"/>
      <c r="R140" s="4"/>
      <c r="S140" s="4"/>
      <c r="T140" s="4"/>
      <c r="U140" s="4"/>
      <c r="V140" s="4"/>
      <c r="W140" s="4"/>
      <c r="X140" s="4"/>
      <c r="Y140" s="4"/>
      <c r="Z140" s="4"/>
    </row>
    <row r="141" ht="13.5" customHeight="1" spans="1:26" x14ac:dyDescent="0.25">
      <c r="A141" s="4"/>
      <c r="B141" s="669">
        <f>B140+1</f>
        <v>2</v>
      </c>
      <c r="C141" s="765" t="str">
        <f t="shared" si="7"/>
        <v>WM</v>
      </c>
      <c r="D141" s="950">
        <v>-0.1828</v>
      </c>
      <c r="E141" s="944"/>
      <c r="F141" s="4"/>
      <c r="G141" s="4"/>
      <c r="H141" s="4"/>
      <c r="I141" s="4"/>
      <c r="J141" s="4"/>
      <c r="K141" s="4"/>
      <c r="L141" s="4"/>
      <c r="M141" s="4"/>
      <c r="N141" s="4"/>
      <c r="O141" s="765" t="str">
        <f t="shared" si="8"/>
        <v>WCN</v>
      </c>
      <c r="P141" s="944">
        <f t="shared" si="9"/>
        <v>0.086</v>
      </c>
      <c r="Q141" s="4"/>
      <c r="R141" s="4"/>
      <c r="S141" s="4"/>
      <c r="T141" s="4"/>
      <c r="U141" s="4"/>
      <c r="V141" s="4"/>
      <c r="W141" s="4"/>
      <c r="X141" s="4"/>
      <c r="Y141" s="4"/>
      <c r="Z141" s="4"/>
    </row>
    <row r="142" ht="13.5" customHeight="1" spans="1:26" x14ac:dyDescent="0.25">
      <c r="A142" s="4"/>
      <c r="B142" s="669">
        <f>B141+1</f>
        <v>3</v>
      </c>
      <c r="C142" s="765" t="str">
        <f t="shared" si="7"/>
        <v>WCN</v>
      </c>
      <c r="D142" s="950">
        <v>0.086</v>
      </c>
      <c r="E142" s="944"/>
      <c r="F142" s="4"/>
      <c r="G142" s="4"/>
      <c r="H142" s="4"/>
      <c r="I142" s="4"/>
      <c r="J142" s="4"/>
      <c r="K142" s="4"/>
      <c r="L142" s="4"/>
      <c r="M142" s="4"/>
      <c r="N142" s="4"/>
      <c r="O142" s="765" t="str">
        <f t="shared" si="8"/>
        <v>CLH</v>
      </c>
      <c r="P142" s="944">
        <f t="shared" si="9"/>
        <v>-0.021</v>
      </c>
      <c r="Q142" s="4"/>
      <c r="R142" s="4"/>
      <c r="S142" s="4"/>
      <c r="T142" s="4"/>
      <c r="U142" s="4"/>
      <c r="V142" s="4"/>
      <c r="W142" s="4"/>
      <c r="X142" s="4"/>
      <c r="Y142" s="4"/>
      <c r="Z142" s="4"/>
    </row>
    <row r="143" ht="13.5" customHeight="1" spans="1:26" x14ac:dyDescent="0.25">
      <c r="A143" s="4"/>
      <c r="B143" s="669">
        <f>B142+1</f>
        <v>4</v>
      </c>
      <c r="C143" s="765" t="str">
        <f t="shared" si="7"/>
        <v>GFL</v>
      </c>
      <c r="D143" s="950">
        <v>-0.1122</v>
      </c>
      <c r="E143" s="944"/>
      <c r="F143" s="4"/>
      <c r="G143" s="4"/>
      <c r="H143" s="4"/>
      <c r="I143" s="4"/>
      <c r="J143" s="4"/>
      <c r="K143" s="4"/>
      <c r="L143" s="4"/>
      <c r="M143" s="4"/>
      <c r="N143" s="4"/>
      <c r="O143" s="765" t="str">
        <f t="shared" si="8"/>
        <v>GFL</v>
      </c>
      <c r="P143" s="944">
        <f t="shared" si="9"/>
        <v>-0.1122</v>
      </c>
      <c r="Q143" s="4"/>
      <c r="R143" s="4"/>
      <c r="S143" s="4"/>
      <c r="T143" s="4"/>
      <c r="U143" s="4"/>
      <c r="V143" s="4"/>
      <c r="W143" s="4"/>
      <c r="X143" s="4"/>
      <c r="Y143" s="4"/>
      <c r="Z143" s="4"/>
    </row>
    <row r="144" ht="13.5" customHeight="1" spans="1:26" x14ac:dyDescent="0.25">
      <c r="A144" s="4"/>
      <c r="B144" s="669">
        <f>B143+1</f>
        <v>5</v>
      </c>
      <c r="C144" s="765" t="str">
        <f t="shared" si="7"/>
        <v>CWST</v>
      </c>
      <c r="D144" s="950">
        <v>0.1212</v>
      </c>
      <c r="E144" s="944"/>
      <c r="F144" s="4"/>
      <c r="G144" s="4"/>
      <c r="H144" s="4"/>
      <c r="I144" s="4"/>
      <c r="J144" s="4"/>
      <c r="K144" s="4"/>
      <c r="L144" s="4"/>
      <c r="M144" s="4"/>
      <c r="N144" s="4"/>
      <c r="O144" s="765" t="str">
        <f t="shared" si="8"/>
        <v>WM</v>
      </c>
      <c r="P144" s="944">
        <f t="shared" si="9"/>
        <v>-0.1828</v>
      </c>
      <c r="Q144" s="4"/>
      <c r="R144" s="4"/>
      <c r="S144" s="4"/>
      <c r="T144" s="4"/>
      <c r="U144" s="4"/>
      <c r="V144" s="4"/>
      <c r="W144" s="4"/>
      <c r="X144" s="4"/>
      <c r="Y144" s="4"/>
      <c r="Z144" s="4"/>
    </row>
    <row r="145" ht="13.5" customHeight="1" spans="1:26" x14ac:dyDescent="0.25">
      <c r="A145" s="4"/>
      <c r="B145" s="669">
        <f>B144+1</f>
        <v>6</v>
      </c>
      <c r="C145" s="765" t="str">
        <f t="shared" si="7"/>
        <v>CLH</v>
      </c>
      <c r="D145" s="950">
        <v>-0.021</v>
      </c>
      <c r="E145" s="944"/>
      <c r="F145" s="4"/>
      <c r="G145" s="4"/>
      <c r="H145" s="4"/>
      <c r="I145" s="4"/>
      <c r="J145" s="4"/>
      <c r="K145" s="4"/>
      <c r="L145" s="4"/>
      <c r="M145" s="4"/>
      <c r="N145" s="4"/>
      <c r="O145" s="765" t="str">
        <f t="shared" si="8"/>
        <v>RSG</v>
      </c>
      <c r="P145" s="944">
        <f t="shared" si="9"/>
        <v>-0.264</v>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83" t="s">
        <v>1159</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939" t="str">
        <f>C138</f>
        <v>Raw Data</v>
      </c>
      <c r="D154" s="103"/>
      <c r="E154" s="103"/>
      <c r="F154" s="4"/>
      <c r="G154" s="4"/>
      <c r="H154" s="4"/>
      <c r="I154" s="4"/>
      <c r="J154" s="4"/>
      <c r="K154" s="4"/>
      <c r="L154" s="4"/>
      <c r="M154" s="4"/>
      <c r="N154" s="4"/>
      <c r="O154" s="939" t="str">
        <f>O138</f>
        <v>Chart Data</v>
      </c>
      <c r="P154" s="103"/>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3.5" customHeight="1" spans="1:26" x14ac:dyDescent="0.25">
      <c r="A156" s="4"/>
      <c r="B156" s="4">
        <v>1</v>
      </c>
      <c r="C156" s="940" t="str">
        <f t="shared" ref="C156:C161" si="10">C140</f>
        <v>RSG</v>
      </c>
      <c r="D156" s="950">
        <v>-0.264</v>
      </c>
      <c r="E156" s="4"/>
      <c r="F156" s="4"/>
      <c r="G156" s="4"/>
      <c r="H156" s="4"/>
      <c r="I156" s="4"/>
      <c r="J156" s="4"/>
      <c r="K156" s="4"/>
      <c r="L156" s="4"/>
      <c r="M156" s="4"/>
      <c r="N156" s="4"/>
      <c r="O156" s="765" t="str">
        <f t="shared" ref="O156:O161" si="11">INDEX($C$156:$C$161,MATCH(P156,$D$156:$D$161,0),1)</f>
        <v>WCN</v>
      </c>
      <c r="P156" s="944">
        <f t="shared" ref="P156:P161" si="12">LARGE($D$156:$D$161,B156)</f>
        <v>0.158</v>
      </c>
      <c r="Q156" s="4"/>
      <c r="R156" s="4"/>
      <c r="S156" s="4"/>
      <c r="T156" s="4"/>
      <c r="U156" s="4"/>
      <c r="V156" s="4"/>
      <c r="W156" s="4"/>
      <c r="X156" s="4"/>
      <c r="Y156" s="4"/>
      <c r="Z156" s="4"/>
    </row>
    <row r="157" ht="13.5" customHeight="1" spans="1:26" x14ac:dyDescent="0.25">
      <c r="A157" s="4"/>
      <c r="B157" s="669">
        <f>B156+1</f>
        <v>2</v>
      </c>
      <c r="C157" s="765" t="str">
        <f t="shared" si="10"/>
        <v>WM</v>
      </c>
      <c r="D157" s="950">
        <v>-0.301</v>
      </c>
      <c r="E157" s="4"/>
      <c r="F157" s="4"/>
      <c r="G157" s="4"/>
      <c r="H157" s="4"/>
      <c r="I157" s="4"/>
      <c r="J157" s="4"/>
      <c r="K157" s="4"/>
      <c r="L157" s="4"/>
      <c r="M157" s="4"/>
      <c r="N157" s="4"/>
      <c r="O157" s="765" t="str">
        <f t="shared" si="11"/>
        <v>CWST</v>
      </c>
      <c r="P157" s="944">
        <f t="shared" si="12"/>
        <v>0.097</v>
      </c>
      <c r="Q157" s="4"/>
      <c r="R157" s="4"/>
      <c r="S157" s="4"/>
      <c r="T157" s="4"/>
      <c r="U157" s="4"/>
      <c r="V157" s="4"/>
      <c r="W157" s="4"/>
      <c r="X157" s="4"/>
      <c r="Y157" s="4"/>
      <c r="Z157" s="4"/>
    </row>
    <row r="158" ht="13.5" customHeight="1" spans="1:26" x14ac:dyDescent="0.25">
      <c r="A158" s="4"/>
      <c r="B158" s="669">
        <f>B157+1</f>
        <v>3</v>
      </c>
      <c r="C158" s="765" t="str">
        <f t="shared" si="10"/>
        <v>WCN</v>
      </c>
      <c r="D158" s="950">
        <v>0.158</v>
      </c>
      <c r="E158" s="4"/>
      <c r="F158" s="4"/>
      <c r="G158" s="4"/>
      <c r="H158" s="4"/>
      <c r="I158" s="4"/>
      <c r="J158" s="4"/>
      <c r="K158" s="4"/>
      <c r="L158" s="4"/>
      <c r="M158" s="4"/>
      <c r="N158" s="4"/>
      <c r="O158" s="765" t="str">
        <f t="shared" si="11"/>
        <v>GFL</v>
      </c>
      <c r="P158" s="944">
        <f t="shared" si="12"/>
        <v>0.058</v>
      </c>
      <c r="Q158" s="4"/>
      <c r="R158" s="4"/>
      <c r="S158" s="4"/>
      <c r="T158" s="4"/>
      <c r="U158" s="4"/>
      <c r="V158" s="4"/>
      <c r="W158" s="4"/>
      <c r="X158" s="4"/>
      <c r="Y158" s="4"/>
      <c r="Z158" s="4"/>
    </row>
    <row r="159" ht="13.5" customHeight="1" spans="1:26" x14ac:dyDescent="0.25">
      <c r="A159" s="4"/>
      <c r="B159" s="669">
        <f>B158+1</f>
        <v>4</v>
      </c>
      <c r="C159" s="765" t="str">
        <f t="shared" si="10"/>
        <v>GFL</v>
      </c>
      <c r="D159" s="950">
        <v>0.058</v>
      </c>
      <c r="E159" s="4"/>
      <c r="F159" s="4"/>
      <c r="G159" s="4"/>
      <c r="H159" s="4"/>
      <c r="I159" s="4"/>
      <c r="J159" s="4"/>
      <c r="K159" s="4"/>
      <c r="L159" s="4"/>
      <c r="M159" s="4"/>
      <c r="N159" s="4"/>
      <c r="O159" s="765" t="str">
        <f t="shared" si="11"/>
        <v>CLH</v>
      </c>
      <c r="P159" s="944">
        <f t="shared" si="12"/>
        <v>0.005</v>
      </c>
      <c r="Q159" s="4"/>
      <c r="R159" s="4"/>
      <c r="S159" s="4"/>
      <c r="T159" s="4"/>
      <c r="U159" s="4"/>
      <c r="V159" s="4"/>
      <c r="W159" s="4"/>
      <c r="X159" s="4"/>
      <c r="Y159" s="4"/>
      <c r="Z159" s="4"/>
    </row>
    <row r="160" ht="13.5" customHeight="1" spans="1:26" x14ac:dyDescent="0.25">
      <c r="A160" s="4"/>
      <c r="B160" s="669">
        <f>B159+1</f>
        <v>5</v>
      </c>
      <c r="C160" s="765" t="str">
        <f t="shared" si="10"/>
        <v>CWST</v>
      </c>
      <c r="D160" s="950">
        <v>0.097</v>
      </c>
      <c r="E160" s="4"/>
      <c r="F160" s="4"/>
      <c r="G160" s="4"/>
      <c r="H160" s="4"/>
      <c r="I160" s="4"/>
      <c r="J160" s="4"/>
      <c r="K160" s="4"/>
      <c r="L160" s="4"/>
      <c r="M160" s="4"/>
      <c r="N160" s="4"/>
      <c r="O160" s="765" t="str">
        <f t="shared" si="11"/>
        <v>RSG</v>
      </c>
      <c r="P160" s="944">
        <f t="shared" si="12"/>
        <v>-0.264</v>
      </c>
      <c r="Q160" s="4"/>
      <c r="R160" s="4"/>
      <c r="S160" s="4"/>
      <c r="T160" s="4"/>
      <c r="U160" s="4"/>
      <c r="V160" s="4"/>
      <c r="W160" s="4"/>
      <c r="X160" s="4"/>
      <c r="Y160" s="4"/>
      <c r="Z160" s="4"/>
    </row>
    <row r="161" ht="13.5" customHeight="1" spans="1:26" x14ac:dyDescent="0.25">
      <c r="A161" s="4"/>
      <c r="B161" s="669">
        <f>B160+1</f>
        <v>6</v>
      </c>
      <c r="C161" s="765" t="str">
        <f t="shared" si="10"/>
        <v>CLH</v>
      </c>
      <c r="D161" s="950">
        <v>0.005</v>
      </c>
      <c r="E161" s="4"/>
      <c r="F161" s="4"/>
      <c r="G161" s="4"/>
      <c r="H161" s="4"/>
      <c r="I161" s="4"/>
      <c r="J161" s="4"/>
      <c r="K161" s="4"/>
      <c r="L161" s="4"/>
      <c r="M161" s="4"/>
      <c r="N161" s="4"/>
      <c r="O161" s="765" t="str">
        <f t="shared" si="11"/>
        <v>WM</v>
      </c>
      <c r="P161" s="944">
        <f t="shared" si="12"/>
        <v>-0.301</v>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activeCell="I22" sqref="I22"/>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4.25" customHeight="1" spans="1:26" x14ac:dyDescent="0.25">
      <c r="A1" s="1"/>
      <c r="B1" s="1"/>
      <c r="C1" s="924" t="str">
        <f>Company_Name&amp;" - "&amp;MID(CELL("filename",A1),FIND("]",CELL("filename",A1))+1,255)&amp;": "&amp;Case_Scenario&amp;" Case"</f>
        <v>Republic Services,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1160</v>
      </c>
      <c r="D4" s="8"/>
      <c r="E4" s="8"/>
      <c r="F4" s="8"/>
      <c r="G4" s="8"/>
      <c r="H4" s="42" t="s">
        <v>1161</v>
      </c>
      <c r="I4" s="8"/>
      <c r="J4" s="8"/>
      <c r="K4" s="8"/>
      <c r="L4" s="8"/>
      <c r="M4" s="8"/>
      <c r="N4" s="8"/>
      <c r="O4" s="8"/>
      <c r="P4" s="8"/>
      <c r="Q4" s="4"/>
      <c r="R4" s="4"/>
      <c r="S4" s="4"/>
      <c r="T4" s="4"/>
      <c r="U4" s="4"/>
      <c r="V4" s="4"/>
      <c r="W4" s="4"/>
      <c r="X4" s="4"/>
      <c r="Y4" s="4"/>
      <c r="Z4" s="4"/>
    </row>
    <row r="5" ht="14.25" customHeight="1" spans="1:26" x14ac:dyDescent="0.25">
      <c r="A5" s="8"/>
      <c r="B5" s="8"/>
      <c r="C5" s="8" t="s">
        <v>1162</v>
      </c>
      <c r="D5" s="8"/>
      <c r="E5" s="8"/>
      <c r="F5" s="8"/>
      <c r="G5" s="8"/>
      <c r="H5" s="951">
        <f>YEAR(Next_FYE)</f>
        <v>2026</v>
      </c>
      <c r="I5" s="8"/>
      <c r="J5" s="8"/>
      <c r="K5" s="8"/>
      <c r="L5" s="8"/>
      <c r="M5" s="8"/>
      <c r="N5" s="8"/>
      <c r="O5" s="8"/>
      <c r="P5" s="8"/>
      <c r="Q5" s="4"/>
      <c r="R5" s="4"/>
      <c r="S5" s="4"/>
      <c r="T5" s="4"/>
      <c r="U5" s="4"/>
      <c r="V5" s="4"/>
      <c r="W5" s="4"/>
      <c r="X5" s="4"/>
      <c r="Y5" s="4"/>
      <c r="Z5" s="4"/>
    </row>
    <row r="6" ht="14.25" customHeight="1" spans="1:26" x14ac:dyDescent="0.25">
      <c r="A6" s="8"/>
      <c r="B6" s="8"/>
      <c r="C6" s="8" t="s">
        <v>1163</v>
      </c>
      <c r="D6" s="8"/>
      <c r="E6" s="8"/>
      <c r="F6" s="8"/>
      <c r="G6" s="8"/>
      <c r="H6" s="952" t="str">
        <f>H4&amp;RIGHT(H5,2)&amp;"e"</f>
        <v>1Q26e</v>
      </c>
      <c r="I6" s="8"/>
      <c r="J6" s="8"/>
      <c r="K6" s="8"/>
      <c r="L6" s="8"/>
      <c r="M6" s="8"/>
      <c r="N6" s="8"/>
      <c r="O6" s="8"/>
      <c r="P6" s="8"/>
      <c r="Q6" s="4"/>
      <c r="R6" s="4"/>
      <c r="S6" s="4"/>
      <c r="T6" s="4"/>
      <c r="U6" s="4"/>
      <c r="V6" s="4"/>
      <c r="W6" s="4"/>
      <c r="X6" s="4"/>
      <c r="Y6" s="4"/>
      <c r="Z6" s="4"/>
    </row>
    <row r="7" ht="14.25" customHeight="1" spans="1:26" x14ac:dyDescent="0.25">
      <c r="A7" s="8"/>
      <c r="B7" s="8"/>
      <c r="C7" s="8" t="s">
        <v>1164</v>
      </c>
      <c r="D7" s="8"/>
      <c r="E7" s="8"/>
      <c r="F7" s="8"/>
      <c r="G7" s="8"/>
      <c r="H7" s="951">
        <f>YEAR(Last_FYE)</f>
        <v>2025</v>
      </c>
      <c r="I7" s="8"/>
      <c r="J7" s="8"/>
      <c r="K7" s="8"/>
      <c r="L7" s="8"/>
      <c r="M7" s="8"/>
      <c r="N7" s="8"/>
      <c r="O7" s="8"/>
      <c r="P7" s="8"/>
      <c r="Q7" s="4"/>
      <c r="R7" s="4"/>
      <c r="S7" s="4"/>
      <c r="T7" s="4"/>
      <c r="U7" s="4"/>
      <c r="V7" s="4"/>
      <c r="W7" s="4"/>
      <c r="X7" s="4"/>
      <c r="Y7" s="4"/>
      <c r="Z7" s="4"/>
    </row>
    <row r="8" ht="14.25" customHeight="1" spans="1:26" x14ac:dyDescent="0.25">
      <c r="A8" s="8"/>
      <c r="B8" s="8"/>
      <c r="C8" s="8" t="s">
        <v>1165</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57" t="s">
        <v>3</v>
      </c>
      <c r="C10" s="101" t="str">
        <f>Ticker&amp;" "&amp;H4&amp;RIGHT(H5,2)&amp;" Operating Expectations"</f>
        <v>RSG 1Q26 Operating Expectations</v>
      </c>
      <c r="D10" s="101"/>
      <c r="E10" s="101"/>
      <c r="F10" s="101"/>
      <c r="G10" s="101"/>
      <c r="H10" s="102" t="s">
        <v>1166</v>
      </c>
      <c r="I10" s="102" t="s">
        <v>1167</v>
      </c>
      <c r="J10" s="102" t="str">
        <f>H4&amp;RIGHT(H7,2)&amp;"a"</f>
        <v>1Q25a</v>
      </c>
      <c r="K10" s="102" t="str">
        <f>IF(H4="1Q",Last_FQR&amp;RIGHT(H7,2)&amp;"a",Last_FQR&amp;RIGHT(H5,2)&amp;"a")</f>
        <v>4Q25a</v>
      </c>
      <c r="L10" s="953" t="str">
        <f>"v. "&amp;I10</f>
        <v>v. Consensus</v>
      </c>
      <c r="M10" s="102" t="str">
        <f>"v. "&amp;J10</f>
        <v>v. 1Q25a</v>
      </c>
      <c r="N10" s="102" t="str">
        <f>"v. "&amp;K10</f>
        <v>v. 4Q25a</v>
      </c>
      <c r="O10" s="191"/>
      <c r="P10" s="191"/>
      <c r="Q10" s="4"/>
      <c r="R10" s="4"/>
      <c r="S10" s="4"/>
      <c r="T10" s="4"/>
      <c r="U10" s="4"/>
      <c r="V10" s="4"/>
      <c r="W10" s="4"/>
      <c r="X10" s="4"/>
      <c r="Y10" s="4"/>
      <c r="Z10" s="4"/>
    </row>
    <row r="11" ht="4.5" customHeight="1" spans="1:26" x14ac:dyDescent="0.25">
      <c r="A11" s="8"/>
      <c r="B11" s="257"/>
      <c r="C11" s="40"/>
      <c r="D11" s="40"/>
      <c r="E11" s="40"/>
      <c r="F11" s="40"/>
      <c r="G11" s="40"/>
      <c r="H11" s="191"/>
      <c r="I11" s="191"/>
      <c r="J11" s="191"/>
      <c r="K11" s="191"/>
      <c r="L11" s="191"/>
      <c r="M11" s="191"/>
      <c r="N11" s="191"/>
      <c r="O11" s="191"/>
      <c r="P11" s="191"/>
      <c r="Q11" s="4"/>
      <c r="R11" s="4"/>
      <c r="S11" s="4"/>
      <c r="T11" s="4"/>
      <c r="U11" s="4"/>
      <c r="V11" s="4"/>
      <c r="W11" s="4"/>
      <c r="X11" s="4"/>
      <c r="Y11" s="4"/>
      <c r="Z11" s="4"/>
    </row>
    <row r="12" ht="14.25" customHeight="1" spans="1:26" x14ac:dyDescent="0.25">
      <c r="A12" s="8"/>
      <c r="B12" s="8"/>
      <c r="C12" s="8" t="str">
        <f>Model!C28</f>
        <v>Revenue</v>
      </c>
      <c r="D12" s="8"/>
      <c r="E12" s="8"/>
      <c r="F12" s="8"/>
      <c r="G12" s="8"/>
      <c r="H12" s="954">
        <f t="array" ref="H12">INDEX(Data,MATCH($C12,Line_Items,0),MATCH($H$6,Fiscal_Periods,0))</f>
        <v>4152.631</v>
      </c>
      <c r="I12" s="955">
        <v>4098.33</v>
      </c>
      <c r="J12" s="954">
        <f t="array" ref="J12">INDEX(Data,MATCH($C12,Line_Items,0),MATCH(LEFT(J$10,4),Fiscal_Periods,0))</f>
        <v>4009</v>
      </c>
      <c r="K12" s="954">
        <f t="array" ref="K12">INDEX(Data,MATCH($C12,Line_Items,0),MATCH(LEFT(K$10,4),Fiscal_Periods,0))</f>
        <v>4136</v>
      </c>
      <c r="L12" s="956">
        <f t="shared" ref="L12:N13" si="0">IFERROR($H12/I12-1,"N/A")</f>
        <v>0.01324954310658244</v>
      </c>
      <c r="M12" s="623">
        <f t="shared" si="0"/>
        <v>0.03582713893739098</v>
      </c>
      <c r="N12" s="623">
        <f t="shared" si="0"/>
        <v>0.004021034816247715</v>
      </c>
      <c r="O12" s="8"/>
      <c r="P12" s="8"/>
      <c r="Q12" s="4"/>
      <c r="R12" s="4"/>
      <c r="S12" s="4"/>
      <c r="T12" s="4"/>
      <c r="U12" s="4"/>
      <c r="V12" s="4"/>
      <c r="W12" s="4"/>
      <c r="X12" s="4"/>
      <c r="Y12" s="4"/>
      <c r="Z12" s="4"/>
    </row>
    <row r="13" ht="14.25" customHeight="1" spans="1:26" x14ac:dyDescent="0.25">
      <c r="A13" s="8"/>
      <c r="B13" s="8"/>
      <c r="C13" s="8" t="str">
        <f>Model!C30</f>
        <v>Gross Profit</v>
      </c>
      <c r="D13" s="8"/>
      <c r="E13" s="8"/>
      <c r="F13" s="8"/>
      <c r="G13" s="8"/>
      <c r="H13" s="957">
        <f t="array" ref="H13">INDEX(Data,MATCH($C13,Line_Items,0),MATCH($H$6,Fiscal_Periods,0))</f>
        <v>4152.631</v>
      </c>
      <c r="I13" s="958">
        <v>1733.34</v>
      </c>
      <c r="J13" s="957">
        <f t="array" ref="J13">INDEX(Data,MATCH($C13,Line_Items,0),MATCH(LEFT(J$10,4),Fiscal_Periods,0))</f>
        <v>4009</v>
      </c>
      <c r="K13" s="957">
        <f t="array" ref="K13">INDEX(Data,MATCH($C13,Line_Items,0),MATCH(LEFT(K$10,4),Fiscal_Periods,0))</f>
        <v>4136</v>
      </c>
      <c r="L13" s="956">
        <f t="shared" si="0"/>
        <v>1.3957394394636946</v>
      </c>
      <c r="M13" s="623">
        <f t="shared" si="0"/>
        <v>0.03582713893739098</v>
      </c>
      <c r="N13" s="623">
        <f t="shared" si="0"/>
        <v>0.004021034816247715</v>
      </c>
      <c r="O13" s="8"/>
      <c r="P13" s="8"/>
      <c r="Q13" s="4"/>
      <c r="R13" s="4"/>
      <c r="S13" s="4"/>
      <c r="T13" s="4"/>
      <c r="U13" s="4"/>
      <c r="V13" s="4"/>
      <c r="W13" s="4"/>
      <c r="X13" s="4"/>
      <c r="Y13" s="4"/>
      <c r="Z13" s="4"/>
    </row>
    <row r="14" ht="14.25" customHeight="1" spans="1:26" x14ac:dyDescent="0.25">
      <c r="A14" s="8"/>
      <c r="B14" s="8"/>
      <c r="C14" s="111" t="str">
        <f>Model!C68</f>
        <v>Gross Margin</v>
      </c>
      <c r="D14" s="8"/>
      <c r="E14" s="8"/>
      <c r="F14" s="8"/>
      <c r="G14" s="8"/>
      <c r="H14" s="959">
        <f t="array" ref="H14">INDEX(Data,MATCH($C14,Line_Items,0),MATCH($H$6,Fiscal_Periods,0))</f>
        <v>1</v>
      </c>
      <c r="I14" s="960">
        <v>0.423</v>
      </c>
      <c r="J14" s="959">
        <f t="array" ref="J14">INDEX(Data,MATCH($C14,Line_Items,0),MATCH(LEFT(J$10,4),Fiscal_Periods,0))</f>
        <v>1</v>
      </c>
      <c r="K14" s="959">
        <f t="array" ref="K14">INDEX(Data,MATCH($C14,Line_Items,0),MATCH(LEFT(K$10,4),Fiscal_Periods,0))</f>
        <v>1</v>
      </c>
      <c r="L14" s="961">
        <f>$H14-I14</f>
        <v>0.577</v>
      </c>
      <c r="M14" s="962">
        <f>$H14-J14</f>
        <v>0</v>
      </c>
      <c r="N14" s="962">
        <f>$H14-K14</f>
        <v>0</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7">
        <f t="array" ref="H15">INDEX(Data,MATCH($C15,Line_Items,0),MATCH($H$6,Fiscal_Periods,0))</f>
        <v>4152.631</v>
      </c>
      <c r="I15" s="958">
        <v>1302.7</v>
      </c>
      <c r="J15" s="957">
        <f t="array" ref="J15">INDEX(Data,MATCH($C15,Line_Items,0),MATCH(LEFT(J$10,4),Fiscal_Periods,0))</f>
        <v>4009</v>
      </c>
      <c r="K15" s="957">
        <f t="array" ref="K15">INDEX(Data,MATCH($C15,Line_Items,0),MATCH(LEFT(K$10,4),Fiscal_Periods,0))</f>
        <v>4136</v>
      </c>
      <c r="L15" s="956">
        <f>IFERROR($H15/I15-1,"N/A")</f>
        <v>2.1877109081139174</v>
      </c>
      <c r="M15" s="623">
        <f>IFERROR($H15/J15-1,"N/A")</f>
        <v>0.03582713893739098</v>
      </c>
      <c r="N15" s="623">
        <f>IFERROR($H15/K15-1,"N/A")</f>
        <v>0.004021034816247715</v>
      </c>
      <c r="O15" s="8"/>
      <c r="P15" s="8"/>
      <c r="Q15" s="4"/>
      <c r="R15" s="4"/>
      <c r="S15" s="4"/>
      <c r="T15" s="4"/>
      <c r="U15" s="4"/>
      <c r="V15" s="4"/>
      <c r="W15" s="4"/>
      <c r="X15" s="4"/>
      <c r="Y15" s="4"/>
      <c r="Z15" s="4"/>
    </row>
    <row r="16" ht="14.25" customHeight="1" spans="1:26" x14ac:dyDescent="0.25">
      <c r="A16" s="8"/>
      <c r="B16" s="8"/>
      <c r="C16" s="111" t="str">
        <f>'Segment Analysis'!C147</f>
        <v>EBITDA Margin</v>
      </c>
      <c r="D16" s="8"/>
      <c r="E16" s="8"/>
      <c r="F16" s="8"/>
      <c r="G16" s="8"/>
      <c r="H16" s="963">
        <f>H15/$H$12</f>
        <v>1</v>
      </c>
      <c r="I16" s="960">
        <v>0.318</v>
      </c>
      <c r="J16" s="963">
        <f>J15/$H$12</f>
        <v>0.9654120484097912</v>
      </c>
      <c r="K16" s="963">
        <f>K15/$H$12</f>
        <v>0.9959950691501364</v>
      </c>
      <c r="L16" s="961">
        <f>$H16-I16</f>
        <v>0.6819999999999999</v>
      </c>
      <c r="M16" s="962">
        <f>$H16-J16</f>
        <v>0.034587951590208776</v>
      </c>
      <c r="N16" s="962">
        <f>$H16-K16</f>
        <v>0.0040049308498636416</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7">
        <f t="array" ref="H17">INDEX(Data,MATCH($C17,Line_Items,0),MATCH($H$6,Fiscal_Periods,0))</f>
        <v>4152.631</v>
      </c>
      <c r="I17" s="958">
        <v>815.75</v>
      </c>
      <c r="J17" s="957">
        <f t="array" ref="J17">INDEX(Data,MATCH($C17,Line_Items,0),MATCH(LEFT(J$10,4),Fiscal_Periods,0))</f>
        <v>4009</v>
      </c>
      <c r="K17" s="957">
        <f t="array" ref="K17">INDEX(Data,MATCH($C17,Line_Items,0),MATCH(LEFT(K$10,4),Fiscal_Periods,0))</f>
        <v>4136</v>
      </c>
      <c r="L17" s="956">
        <f>IFERROR($H17/I17-1,"N/A")</f>
        <v>4.090568188783329</v>
      </c>
      <c r="M17" s="623">
        <f>IFERROR($H17/J17-1,"N/A")</f>
        <v>0.03582713893739098</v>
      </c>
      <c r="N17" s="623">
        <f>IFERROR($H17/K17-1,"N/A")</f>
        <v>0.004021034816247715</v>
      </c>
      <c r="O17" s="8"/>
      <c r="P17" s="8"/>
      <c r="Q17" s="4"/>
      <c r="R17" s="4"/>
      <c r="S17" s="4"/>
      <c r="T17" s="4"/>
      <c r="U17" s="4"/>
      <c r="V17" s="4"/>
      <c r="W17" s="4"/>
      <c r="X17" s="4"/>
      <c r="Y17" s="4"/>
      <c r="Z17" s="4"/>
    </row>
    <row r="18" ht="14.25" customHeight="1" spans="1:26" x14ac:dyDescent="0.25">
      <c r="A18" s="8"/>
      <c r="B18" s="8"/>
      <c r="C18" s="111" t="str">
        <f>'Segment Analysis'!C155</f>
        <v>EBIT Margin</v>
      </c>
      <c r="D18" s="8"/>
      <c r="E18" s="8"/>
      <c r="F18" s="8"/>
      <c r="G18" s="8"/>
      <c r="H18" s="963">
        <f>H17/$H$12</f>
        <v>1</v>
      </c>
      <c r="I18" s="960">
        <v>0.225</v>
      </c>
      <c r="J18" s="963">
        <f>J17/$H$12</f>
        <v>0.9654120484097912</v>
      </c>
      <c r="K18" s="963">
        <f>K17/$H$12</f>
        <v>0.9959950691501364</v>
      </c>
      <c r="L18" s="961">
        <f>$H18-I18</f>
        <v>0.775</v>
      </c>
      <c r="M18" s="962">
        <f>$H18-J18</f>
        <v>0.034587951590208776</v>
      </c>
      <c r="N18" s="962">
        <f>$H18-K18</f>
        <v>0.0040049308498636416</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7">
        <f t="array" ref="H19">INDEX(Data,MATCH($C19,Line_Items,0),MATCH($H$6,Fiscal_Periods,0))</f>
        <v>4152.631</v>
      </c>
      <c r="I19" s="958">
        <v>604</v>
      </c>
      <c r="J19" s="957">
        <f t="array" ref="J19">INDEX(Data,MATCH($C19,Line_Items,0),MATCH(LEFT(J$10,4),Fiscal_Periods,0))</f>
        <v>4009</v>
      </c>
      <c r="K19" s="957">
        <f t="array" ref="K19">INDEX(Data,MATCH($C19,Line_Items,0),MATCH(LEFT(K$10,4),Fiscal_Periods,0))</f>
        <v>4136</v>
      </c>
      <c r="L19" s="956">
        <f>IFERROR($H19/I19-1,"N/A")</f>
        <v>5.875216887417219</v>
      </c>
      <c r="M19" s="623">
        <f>IFERROR($H19/J19-1,"N/A")</f>
        <v>0.03582713893739098</v>
      </c>
      <c r="N19" s="623">
        <f>IFERROR($H19/K19-1,"N/A")</f>
        <v>0.004021034816247715</v>
      </c>
      <c r="O19" s="8"/>
      <c r="P19" s="8"/>
      <c r="Q19" s="4"/>
      <c r="R19" s="4"/>
      <c r="S19" s="4"/>
      <c r="T19" s="4"/>
      <c r="U19" s="4"/>
      <c r="V19" s="4"/>
      <c r="W19" s="4"/>
      <c r="X19" s="4"/>
      <c r="Y19" s="4"/>
      <c r="Z19" s="4"/>
    </row>
    <row r="20" ht="14.25" customHeight="1" spans="1:26" x14ac:dyDescent="0.25">
      <c r="A20" s="8"/>
      <c r="B20" s="8"/>
      <c r="C20" s="111" t="s">
        <v>601</v>
      </c>
      <c r="D20" s="8"/>
      <c r="E20" s="8"/>
      <c r="F20" s="8"/>
      <c r="G20" s="8"/>
      <c r="H20" s="959">
        <f>H19/H12</f>
        <v>1</v>
      </c>
      <c r="I20" s="960">
        <v>0.15</v>
      </c>
      <c r="J20" s="959">
        <f>J19/J12</f>
        <v>1</v>
      </c>
      <c r="K20" s="959">
        <f>K19/K12</f>
        <v>1</v>
      </c>
      <c r="L20" s="961">
        <f>$H20-I20</f>
        <v>0.85</v>
      </c>
      <c r="M20" s="962">
        <f>$H20-J20</f>
        <v>0</v>
      </c>
      <c r="N20" s="962">
        <f>$H20-K20</f>
        <v>0</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64" t="e">
        <f t="array" ref="H21">INDEX(Data,MATCH($C21,Line_Items,0),MATCH($H$6,Fiscal_Periods,0))</f>
        <v>#DIV/0!</v>
      </c>
      <c r="I21" s="965">
        <v>1.94</v>
      </c>
      <c r="J21" s="964" t="e">
        <f t="array" ref="J21">INDEX(Data,MATCH($C21,Line_Items,0),MATCH(LEFT(J$10,4),Fiscal_Periods,0))</f>
        <v>#DIV/0!</v>
      </c>
      <c r="K21" s="964" t="e">
        <f t="array" ref="K21">INDEX(Data,MATCH($C21,Line_Items,0),MATCH(LEFT(K$10,4),Fiscal_Periods,0))</f>
        <v>#DIV/0!</v>
      </c>
      <c r="L21" s="956" t="str">
        <f>IFERROR($H21/I21-1,"N/A")</f>
        <v>N/A</v>
      </c>
      <c r="M21" s="623" t="str">
        <f>IFERROR($H21/J21-1,"N/A")</f>
        <v>N/A</v>
      </c>
      <c r="N21" s="623" t="str">
        <f>IFERROR($H21/K21-1,"N/A")</f>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57" t="s">
        <v>3</v>
      </c>
      <c r="C24" s="101" t="str">
        <f>Ticker&amp;" "&amp;H4&amp;RIGHT(H5,2)&amp;" Segment Expectations"</f>
        <v>RSG 1Q26 Segment Expectations</v>
      </c>
      <c r="D24" s="101"/>
      <c r="E24" s="101"/>
      <c r="F24" s="101"/>
      <c r="G24" s="101"/>
      <c r="H24" s="102" t="str">
        <f t="shared" ref="H24:N24" si="1">H10</f>
        <v>OFe</v>
      </c>
      <c r="I24" s="102" t="str">
        <f t="shared" si="1"/>
        <v>Consensus</v>
      </c>
      <c r="J24" s="102" t="str">
        <f t="shared" si="1"/>
        <v>1Q25a</v>
      </c>
      <c r="K24" s="102" t="str">
        <f t="shared" si="1"/>
        <v>4Q25a</v>
      </c>
      <c r="L24" s="953" t="str">
        <f t="shared" si="1"/>
        <v>v. Consensus</v>
      </c>
      <c r="M24" s="102" t="str">
        <f t="shared" si="1"/>
        <v>v. 1Q25a</v>
      </c>
      <c r="N24" s="102" t="str">
        <f t="shared" si="1"/>
        <v>v. 4Q25a</v>
      </c>
      <c r="O24" s="8"/>
      <c r="P24" s="8"/>
      <c r="Q24" s="4"/>
      <c r="R24" s="4"/>
      <c r="S24" s="4"/>
      <c r="T24" s="4"/>
      <c r="U24" s="4"/>
      <c r="V24" s="4"/>
      <c r="W24" s="4"/>
      <c r="X24" s="4"/>
      <c r="Y24" s="4"/>
      <c r="Z24" s="4"/>
    </row>
    <row r="25" ht="4.5" customHeight="1" spans="1:26" x14ac:dyDescent="0.25">
      <c r="A25" s="8"/>
      <c r="B25" s="257"/>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Analysis'!C9</f>
        <v>Collection Revenue</v>
      </c>
      <c r="D26" s="8"/>
      <c r="E26" s="8"/>
      <c r="F26" s="8"/>
      <c r="G26" s="8"/>
      <c r="H26" s="954" t="e">
        <f t="array" ref="H26">INDEX(Data,MATCH($C26,Line_Items,0),MATCH($H$6,Fiscal_Periods,0))</f>
        <v>#N/A</v>
      </c>
      <c r="I26" s="955">
        <v>6520.1</v>
      </c>
      <c r="J26" s="954" t="e">
        <f t="array" ref="J26">INDEX(Data,MATCH($C26,Line_Items,0),MATCH(LEFT(J$24,4),Fiscal_Periods,0))</f>
        <v>#N/A</v>
      </c>
      <c r="K26" s="954" t="e">
        <f t="array" ref="K26">INDEX(Data,MATCH($C26,Line_Items,0),MATCH(LEFT(K$24,4),Fiscal_Periods,0))</f>
        <v>#N/A</v>
      </c>
      <c r="L26" s="956" t="str">
        <f t="shared" ref="L26:L37" si="2">IFERROR($H26/I26-1,"N/A")</f>
        <v>N/A</v>
      </c>
      <c r="M26" s="623" t="str">
        <f t="shared" ref="M26:M37" si="3">IFERROR($H26/J26-1,"N/A")</f>
        <v>N/A</v>
      </c>
      <c r="N26" s="623" t="str">
        <f t="shared" ref="N26:N37" si="4">IFERROR($H26/K26-1,"N/A")</f>
        <v>N/A</v>
      </c>
      <c r="O26" s="8"/>
      <c r="P26" s="8"/>
      <c r="Q26" s="4"/>
      <c r="R26" s="4"/>
      <c r="S26" s="4"/>
      <c r="T26" s="4"/>
      <c r="U26" s="4"/>
      <c r="V26" s="4"/>
      <c r="W26" s="4"/>
      <c r="X26" s="4"/>
      <c r="Y26" s="4"/>
      <c r="Z26" s="4"/>
    </row>
    <row r="27" ht="14.25" customHeight="1" spans="1:26" x14ac:dyDescent="0.25">
      <c r="A27" s="8"/>
      <c r="B27" s="8"/>
      <c r="C27" s="8" t="str">
        <f>'Segment Analysis'!C10</f>
        <v>Landfill Revenue</v>
      </c>
      <c r="D27" s="8"/>
      <c r="E27" s="8"/>
      <c r="F27" s="8"/>
      <c r="G27" s="8"/>
      <c r="H27" s="957" t="e">
        <f t="array" ref="H27">INDEX(Data,MATCH($C27,Line_Items,0),MATCH($H$6,Fiscal_Periods,0))</f>
        <v>#N/A</v>
      </c>
      <c r="I27" s="958">
        <v>11000.3</v>
      </c>
      <c r="J27" s="957" t="e">
        <f t="array" ref="J27">INDEX(Data,MATCH($C27,Line_Items,0),MATCH(LEFT(J$24,4),Fiscal_Periods,0))</f>
        <v>#N/A</v>
      </c>
      <c r="K27" s="957" t="e">
        <f t="array" ref="K27">INDEX(Data,MATCH($C27,Line_Items,0),MATCH(LEFT(K$24,4),Fiscal_Periods,0))</f>
        <v>#N/A</v>
      </c>
      <c r="L27" s="956" t="str">
        <f t="shared" si="2"/>
        <v>N/A</v>
      </c>
      <c r="M27" s="623" t="str">
        <f t="shared" si="3"/>
        <v>N/A</v>
      </c>
      <c r="N27" s="623" t="str">
        <f t="shared" si="4"/>
        <v>N/A</v>
      </c>
      <c r="O27" s="8"/>
      <c r="P27" s="8"/>
      <c r="Q27" s="4"/>
      <c r="R27" s="4"/>
      <c r="S27" s="4"/>
      <c r="T27" s="4"/>
      <c r="U27" s="4"/>
      <c r="V27" s="4"/>
      <c r="W27" s="4"/>
      <c r="X27" s="4"/>
      <c r="Y27" s="4"/>
      <c r="Z27" s="4"/>
    </row>
    <row r="28" ht="14.25" customHeight="1" spans="1:26" x14ac:dyDescent="0.25">
      <c r="A28" s="8"/>
      <c r="B28" s="8"/>
      <c r="C28" s="8" t="str">
        <f>'Segment Analysis'!C11</f>
        <v>Environmental solutions Revenue</v>
      </c>
      <c r="D28" s="8"/>
      <c r="E28" s="8"/>
      <c r="F28" s="8"/>
      <c r="G28" s="8"/>
      <c r="H28" s="957" t="e">
        <f t="array" ref="H28">INDEX(Data,MATCH($C28,Line_Items,0),MATCH($H$6,Fiscal_Periods,0))</f>
        <v>#N/A</v>
      </c>
      <c r="I28" s="958">
        <v>75</v>
      </c>
      <c r="J28" s="957" t="e">
        <f t="array" ref="J28">INDEX(Data,MATCH($C28,Line_Items,0),MATCH(LEFT(J$24,4),Fiscal_Periods,0))</f>
        <v>#N/A</v>
      </c>
      <c r="K28" s="957" t="e">
        <f t="array" ref="K28">INDEX(Data,MATCH($C28,Line_Items,0),MATCH(LEFT(K$24,4),Fiscal_Periods,0))</f>
        <v>#N/A</v>
      </c>
      <c r="L28" s="956" t="str">
        <f t="shared" si="2"/>
        <v>N/A</v>
      </c>
      <c r="M28" s="623" t="str">
        <f t="shared" si="3"/>
        <v>N/A</v>
      </c>
      <c r="N28" s="623" t="str">
        <f t="shared" si="4"/>
        <v>N/A</v>
      </c>
      <c r="O28" s="8"/>
      <c r="P28" s="8"/>
      <c r="Q28" s="4"/>
      <c r="R28" s="4"/>
      <c r="S28" s="4"/>
      <c r="T28" s="4"/>
      <c r="U28" s="4"/>
      <c r="V28" s="4"/>
      <c r="W28" s="4"/>
      <c r="X28" s="4"/>
      <c r="Y28" s="4"/>
      <c r="Z28" s="4"/>
    </row>
    <row r="29" ht="14.25" customHeight="1" spans="1:26" x14ac:dyDescent="0.25">
      <c r="A29" s="8"/>
      <c r="B29" s="8"/>
      <c r="C29" s="8" t="str">
        <f>'Segment Analysis'!C12</f>
        <v>Transfer Revenue</v>
      </c>
      <c r="D29" s="8"/>
      <c r="E29" s="8"/>
      <c r="F29" s="8"/>
      <c r="G29" s="8"/>
      <c r="H29" s="957" t="e">
        <f t="array" ref="H29">INDEX(Data,MATCH($C29,Line_Items,0),MATCH($H$6,Fiscal_Periods,0))</f>
        <v>#N/A</v>
      </c>
      <c r="I29" s="958">
        <v>-200</v>
      </c>
      <c r="J29" s="957" t="e">
        <f t="array" ref="J29">INDEX(Data,MATCH($C29,Line_Items,0),MATCH(LEFT(J$24,4),Fiscal_Periods,0))</f>
        <v>#N/A</v>
      </c>
      <c r="K29" s="957" t="e">
        <f t="array" ref="K29">INDEX(Data,MATCH($C29,Line_Items,0),MATCH(LEFT(K$24,4),Fiscal_Periods,0))</f>
        <v>#N/A</v>
      </c>
      <c r="L29" s="956" t="str">
        <f t="shared" si="2"/>
        <v>N/A</v>
      </c>
      <c r="M29" s="623" t="str">
        <f t="shared" si="3"/>
        <v>N/A</v>
      </c>
      <c r="N29" s="623" t="str">
        <f t="shared" si="4"/>
        <v>N/A</v>
      </c>
      <c r="O29" s="8"/>
      <c r="P29" s="8"/>
      <c r="Q29" s="4"/>
      <c r="R29" s="4"/>
      <c r="S29" s="4"/>
      <c r="T29" s="4"/>
      <c r="U29" s="4"/>
      <c r="V29" s="4"/>
      <c r="W29" s="4"/>
      <c r="X29" s="4"/>
      <c r="Y29" s="4"/>
      <c r="Z29" s="4"/>
    </row>
    <row r="30" ht="14.25" customHeight="1" spans="1:26" x14ac:dyDescent="0.25">
      <c r="A30" s="8"/>
      <c r="B30" s="8"/>
      <c r="C30" s="618" t="str">
        <f>'Segment Analysis'!C13</f>
        <v>Other Revenue</v>
      </c>
      <c r="D30" s="618"/>
      <c r="E30" s="618"/>
      <c r="F30" s="618"/>
      <c r="G30" s="618"/>
      <c r="H30" s="966" t="e">
        <f t="array" ref="H30">INDEX(Data,MATCH($C30,Line_Items,0),MATCH($H$6,Fiscal_Periods,0))</f>
        <v>#N/A</v>
      </c>
      <c r="I30" s="967">
        <v>5000</v>
      </c>
      <c r="J30" s="966" t="e">
        <f t="array" ref="J30">INDEX(Data,MATCH($C30,Line_Items,0),MATCH(LEFT(J$24,4),Fiscal_Periods,0))</f>
        <v>#N/A</v>
      </c>
      <c r="K30" s="966" t="e">
        <f t="array" ref="K30">INDEX(Data,MATCH($C30,Line_Items,0),MATCH(LEFT(K$24,4),Fiscal_Periods,0))</f>
        <v>#N/A</v>
      </c>
      <c r="L30" s="968" t="str">
        <f t="shared" si="2"/>
        <v>N/A</v>
      </c>
      <c r="M30" s="619" t="str">
        <f t="shared" si="3"/>
        <v>N/A</v>
      </c>
      <c r="N30" s="619" t="str">
        <f t="shared" si="4"/>
        <v>N/A</v>
      </c>
      <c r="O30" s="8"/>
      <c r="P30" s="8"/>
      <c r="Q30" s="4"/>
      <c r="R30" s="4"/>
      <c r="S30" s="4"/>
      <c r="T30" s="4"/>
      <c r="U30" s="4"/>
      <c r="V30" s="4"/>
      <c r="W30" s="4"/>
      <c r="X30" s="4"/>
      <c r="Y30" s="4"/>
      <c r="Z30" s="4"/>
    </row>
    <row r="31" ht="14.25" customHeight="1" hidden="1" spans="1:26" x14ac:dyDescent="0.25" outlineLevel="1" collapsed="1">
      <c r="A31" s="8"/>
      <c r="B31" s="8"/>
      <c r="C31" s="618" t="str">
        <f>'Segment Analysis'!C14</f>
        <v>Professional Services and Other Revenue</v>
      </c>
      <c r="D31" s="618"/>
      <c r="E31" s="618"/>
      <c r="F31" s="618"/>
      <c r="G31" s="618"/>
      <c r="H31" s="969" t="e">
        <f t="array" ref="H31">INDEX(Data,MATCH($C31,Line_Items,0),MATCH($H$6,Fiscal_Periods,0))</f>
        <v>#N/A</v>
      </c>
      <c r="I31" s="970" t="e">
        <f t="array" ref="I31">INDEX(Data,MATCH($C31,Line_Items,0),MATCH($H$6,Fiscal_Periods,0))</f>
        <v>#N/A</v>
      </c>
      <c r="J31" s="969" t="e">
        <f t="array" ref="J31">INDEX(Data,MATCH($C31,Line_Items,0),MATCH(LEFT(J$24,4),Fiscal_Periods,0))</f>
        <v>#N/A</v>
      </c>
      <c r="K31" s="969" t="e">
        <f t="array" ref="K31">INDEX(Data,MATCH($C31,Line_Items,0),MATCH(LEFT(K$24,4),Fiscal_Periods,0))</f>
        <v>#N/A</v>
      </c>
      <c r="L31" s="968" t="str">
        <f t="shared" si="2"/>
        <v>N/A</v>
      </c>
      <c r="M31" s="619" t="str">
        <f t="shared" si="3"/>
        <v>N/A</v>
      </c>
      <c r="N31" s="619" t="str">
        <f t="shared" si="4"/>
        <v>N/A</v>
      </c>
      <c r="O31" s="8"/>
      <c r="P31" s="8"/>
      <c r="Q31" s="4"/>
      <c r="R31" s="4"/>
      <c r="S31" s="4"/>
      <c r="T31" s="4"/>
      <c r="U31" s="4"/>
      <c r="V31" s="4"/>
      <c r="W31" s="4"/>
      <c r="X31" s="4"/>
      <c r="Y31" s="4"/>
      <c r="Z31" s="4"/>
    </row>
    <row r="32" ht="14.25" customHeight="1" spans="1:26" x14ac:dyDescent="0.25">
      <c r="A32" s="8"/>
      <c r="B32" s="8"/>
      <c r="C32" s="8" t="e">
        <f>'Segment Analysis'!#REF!</f>
        <v>#REF!</v>
      </c>
      <c r="D32" s="8"/>
      <c r="E32" s="8"/>
      <c r="F32" s="8"/>
      <c r="G32" s="8"/>
      <c r="H32" s="954" t="e">
        <f t="array" ref="H32">INDEX(Data,MATCH($C32,Line_Items,0),MATCH($H$6,Fiscal_Periods,0))</f>
        <v>#REF!</v>
      </c>
      <c r="I32" s="955">
        <v>820</v>
      </c>
      <c r="J32" s="954" t="e">
        <f t="array" ref="J32">INDEX(Data,MATCH($C32,Line_Items,0),MATCH(LEFT(J$24,4),Fiscal_Periods,0))</f>
        <v>#REF!</v>
      </c>
      <c r="K32" s="954" t="e">
        <f t="array" ref="K32">INDEX(Data,MATCH($C32,Line_Items,0),MATCH(LEFT(K$24,4),Fiscal_Periods,0))</f>
        <v>#REF!</v>
      </c>
      <c r="L32" s="956" t="str">
        <f t="shared" si="2"/>
        <v>N/A</v>
      </c>
      <c r="M32" s="623" t="str">
        <f t="shared" si="3"/>
        <v>N/A</v>
      </c>
      <c r="N32" s="623" t="str">
        <f t="shared" si="4"/>
        <v>N/A</v>
      </c>
      <c r="O32" s="8"/>
      <c r="P32" s="8"/>
      <c r="Q32" s="4"/>
      <c r="R32" s="4"/>
      <c r="S32" s="4"/>
      <c r="T32" s="4"/>
      <c r="U32" s="4"/>
      <c r="V32" s="4"/>
      <c r="W32" s="4"/>
      <c r="X32" s="4"/>
      <c r="Y32" s="4"/>
      <c r="Z32" s="4"/>
    </row>
    <row r="33" ht="14.25" customHeight="1" spans="1:26" x14ac:dyDescent="0.25">
      <c r="A33" s="8"/>
      <c r="B33" s="8"/>
      <c r="C33" s="8" t="e">
        <f>'Segment Analysis'!#REF!</f>
        <v>#REF!</v>
      </c>
      <c r="D33" s="8"/>
      <c r="E33" s="8"/>
      <c r="F33" s="8"/>
      <c r="G33" s="8"/>
      <c r="H33" s="957" t="e">
        <f t="array" ref="H33">INDEX(Data,MATCH($C33,Line_Items,0),MATCH($H$6,Fiscal_Periods,0))</f>
        <v>#REF!</v>
      </c>
      <c r="I33" s="958">
        <v>1400</v>
      </c>
      <c r="J33" s="957" t="e">
        <f t="array" ref="J33">INDEX(Data,MATCH($C33,Line_Items,0),MATCH(LEFT(J$24,4),Fiscal_Periods,0))</f>
        <v>#REF!</v>
      </c>
      <c r="K33" s="957" t="e">
        <f t="array" ref="K33">INDEX(Data,MATCH($C33,Line_Items,0),MATCH(LEFT(K$24,4),Fiscal_Periods,0))</f>
        <v>#REF!</v>
      </c>
      <c r="L33" s="956" t="str">
        <f t="shared" si="2"/>
        <v>N/A</v>
      </c>
      <c r="M33" s="623" t="str">
        <f t="shared" si="3"/>
        <v>N/A</v>
      </c>
      <c r="N33" s="623" t="str">
        <f t="shared" si="4"/>
        <v>N/A</v>
      </c>
      <c r="O33" s="8"/>
      <c r="P33" s="8"/>
      <c r="Q33" s="4"/>
      <c r="R33" s="4"/>
      <c r="S33" s="4"/>
      <c r="T33" s="4"/>
      <c r="U33" s="4"/>
      <c r="V33" s="4"/>
      <c r="W33" s="4"/>
      <c r="X33" s="4"/>
      <c r="Y33" s="4"/>
      <c r="Z33" s="4"/>
    </row>
    <row r="34" ht="14.25" customHeight="1" spans="1:26" x14ac:dyDescent="0.25">
      <c r="A34" s="8"/>
      <c r="B34" s="8"/>
      <c r="C34" s="8" t="e">
        <f>'Segment Analysis'!#REF!</f>
        <v>#REF!</v>
      </c>
      <c r="D34" s="8"/>
      <c r="E34" s="8"/>
      <c r="F34" s="8"/>
      <c r="G34" s="8"/>
      <c r="H34" s="957" t="e">
        <f t="array" ref="H34">INDEX(Data,MATCH($C34,Line_Items,0),MATCH($H$6,Fiscal_Periods,0))</f>
        <v>#REF!</v>
      </c>
      <c r="I34" s="958">
        <v>10</v>
      </c>
      <c r="J34" s="957" t="e">
        <f t="array" ref="J34">INDEX(Data,MATCH($C34,Line_Items,0),MATCH(LEFT(J$24,4),Fiscal_Periods,0))</f>
        <v>#REF!</v>
      </c>
      <c r="K34" s="957" t="e">
        <f t="array" ref="K34">INDEX(Data,MATCH($C34,Line_Items,0),MATCH(LEFT(K$24,4),Fiscal_Periods,0))</f>
        <v>#REF!</v>
      </c>
      <c r="L34" s="956" t="str">
        <f t="shared" si="2"/>
        <v>N/A</v>
      </c>
      <c r="M34" s="623" t="str">
        <f t="shared" si="3"/>
        <v>N/A</v>
      </c>
      <c r="N34" s="623" t="str">
        <f t="shared" si="4"/>
        <v>N/A</v>
      </c>
      <c r="O34" s="8"/>
      <c r="P34" s="8"/>
      <c r="Q34" s="4"/>
      <c r="R34" s="4"/>
      <c r="S34" s="4"/>
      <c r="T34" s="4"/>
      <c r="U34" s="4"/>
      <c r="V34" s="4"/>
      <c r="W34" s="4"/>
      <c r="X34" s="4"/>
      <c r="Y34" s="4"/>
      <c r="Z34" s="4"/>
    </row>
    <row r="35" ht="14.25" customHeight="1" spans="1:26" x14ac:dyDescent="0.25">
      <c r="A35" s="8"/>
      <c r="B35" s="8"/>
      <c r="C35" s="8" t="e">
        <f>'Segment Analysis'!#REF!</f>
        <v>#REF!</v>
      </c>
      <c r="D35" s="8"/>
      <c r="E35" s="8"/>
      <c r="F35" s="8"/>
      <c r="G35" s="8"/>
      <c r="H35" s="957" t="e">
        <f t="array" ref="H35">INDEX(Data,MATCH($C35,Line_Items,0),MATCH($H$6,Fiscal_Periods,0))</f>
        <v>#REF!</v>
      </c>
      <c r="I35" s="958">
        <v>-23</v>
      </c>
      <c r="J35" s="957" t="e">
        <f t="array" ref="J35">INDEX(Data,MATCH($C35,Line_Items,0),MATCH(LEFT(J$24,4),Fiscal_Periods,0))</f>
        <v>#REF!</v>
      </c>
      <c r="K35" s="957" t="e">
        <f t="array" ref="K35">INDEX(Data,MATCH($C35,Line_Items,0),MATCH(LEFT(K$24,4),Fiscal_Periods,0))</f>
        <v>#REF!</v>
      </c>
      <c r="L35" s="956" t="str">
        <f t="shared" si="2"/>
        <v>N/A</v>
      </c>
      <c r="M35" s="623" t="str">
        <f t="shared" si="3"/>
        <v>N/A</v>
      </c>
      <c r="N35" s="623" t="str">
        <f t="shared" si="4"/>
        <v>N/A</v>
      </c>
      <c r="O35" s="8"/>
      <c r="P35" s="8"/>
      <c r="Q35" s="4"/>
      <c r="R35" s="4"/>
      <c r="S35" s="4"/>
      <c r="T35" s="4"/>
      <c r="U35" s="4"/>
      <c r="V35" s="4"/>
      <c r="W35" s="4"/>
      <c r="X35" s="4"/>
      <c r="Y35" s="4"/>
      <c r="Z35" s="4"/>
    </row>
    <row r="36" ht="14.25" customHeight="1" spans="1:26" x14ac:dyDescent="0.25">
      <c r="A36" s="8"/>
      <c r="B36" s="8"/>
      <c r="C36" s="8" t="e">
        <f>'Segment Analysis'!#REF!</f>
        <v>#REF!</v>
      </c>
      <c r="D36" s="8"/>
      <c r="E36" s="8"/>
      <c r="F36" s="8"/>
      <c r="G36" s="8"/>
      <c r="H36" s="957" t="e">
        <f t="array" ref="H36">INDEX(Data,MATCH($C36,Line_Items,0),MATCH($H$6,Fiscal_Periods,0))</f>
        <v>#REF!</v>
      </c>
      <c r="I36" s="958">
        <v>650</v>
      </c>
      <c r="J36" s="957" t="e">
        <f t="array" ref="J36">INDEX(Data,MATCH($C36,Line_Items,0),MATCH(LEFT(J$24,4),Fiscal_Periods,0))</f>
        <v>#REF!</v>
      </c>
      <c r="K36" s="957" t="e">
        <f t="array" ref="K36">INDEX(Data,MATCH($C36,Line_Items,0),MATCH(LEFT(K$24,4),Fiscal_Periods,0))</f>
        <v>#REF!</v>
      </c>
      <c r="L36" s="956" t="str">
        <f t="shared" si="2"/>
        <v>N/A</v>
      </c>
      <c r="M36" s="623" t="str">
        <f t="shared" si="3"/>
        <v>N/A</v>
      </c>
      <c r="N36" s="623" t="str">
        <f t="shared" si="4"/>
        <v>N/A</v>
      </c>
      <c r="O36" s="8"/>
      <c r="P36" s="8"/>
      <c r="Q36" s="4"/>
      <c r="R36" s="4"/>
      <c r="S36" s="4"/>
      <c r="T36" s="4"/>
      <c r="U36" s="4"/>
      <c r="V36" s="4"/>
      <c r="W36" s="4"/>
      <c r="X36" s="4"/>
      <c r="Y36" s="4"/>
      <c r="Z36" s="4"/>
    </row>
    <row r="37" ht="14.25" customHeight="1" spans="1:26" x14ac:dyDescent="0.25">
      <c r="A37" s="8"/>
      <c r="B37" s="8"/>
      <c r="C37" s="8" t="e">
        <f>'Segment Analysis'!#REF!</f>
        <v>#REF!</v>
      </c>
      <c r="D37" s="8"/>
      <c r="E37" s="8"/>
      <c r="F37" s="8"/>
      <c r="G37" s="8"/>
      <c r="H37" s="957" t="e">
        <f t="array" ref="H37">INDEX(Data,MATCH($C37,Line_Items,0),MATCH($H$6,Fiscal_Periods,0))</f>
        <v>#REF!</v>
      </c>
      <c r="I37" s="958">
        <v>300</v>
      </c>
      <c r="J37" s="957" t="e">
        <f t="array" ref="J37">INDEX(Data,MATCH($C37,Line_Items,0),MATCH(LEFT(J$24,4),Fiscal_Periods,0))</f>
        <v>#REF!</v>
      </c>
      <c r="K37" s="957" t="e">
        <f t="array" ref="K37">INDEX(Data,MATCH($C37,Line_Items,0),MATCH(LEFT(K$24,4),Fiscal_Periods,0))</f>
        <v>#REF!</v>
      </c>
      <c r="L37" s="956" t="str">
        <f t="shared" si="2"/>
        <v>N/A</v>
      </c>
      <c r="M37" s="623" t="str">
        <f t="shared" si="3"/>
        <v>N/A</v>
      </c>
      <c r="N37" s="623" t="str">
        <f t="shared" si="4"/>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57" t="s">
        <v>3</v>
      </c>
      <c r="C40" s="101" t="str">
        <f>Ticker&amp;" "&amp;H4&amp;RIGHT(H5,2)&amp;" Cash Flow Expectations"</f>
        <v>RSG 1Q26 Cash Flow Expectations</v>
      </c>
      <c r="D40" s="101"/>
      <c r="E40" s="101"/>
      <c r="F40" s="101"/>
      <c r="G40" s="101"/>
      <c r="H40" s="102" t="str">
        <f t="shared" ref="H40:N40" si="5">H10</f>
        <v>OFe</v>
      </c>
      <c r="I40" s="102" t="str">
        <f t="shared" si="5"/>
        <v>Consensus</v>
      </c>
      <c r="J40" s="102" t="str">
        <f t="shared" si="5"/>
        <v>1Q25a</v>
      </c>
      <c r="K40" s="102" t="str">
        <f t="shared" si="5"/>
        <v>4Q25a</v>
      </c>
      <c r="L40" s="953" t="str">
        <f t="shared" si="5"/>
        <v>v. Consensus</v>
      </c>
      <c r="M40" s="102" t="str">
        <f t="shared" si="5"/>
        <v>v. 1Q25a</v>
      </c>
      <c r="N40" s="102" t="str">
        <f t="shared" si="5"/>
        <v>v. 4Q25a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Model!C82</f>
        <v>Net Cash From Operating Activities</v>
      </c>
      <c r="D42" s="8"/>
      <c r="E42" s="8"/>
      <c r="F42" s="8"/>
      <c r="G42" s="8"/>
      <c r="H42" s="954">
        <f t="array" ref="H42">INDEX(Data,MATCH($C42,Line_Items,0),MATCH($H$6,Fiscal_Periods,0))</f>
        <v>0</v>
      </c>
      <c r="I42" s="955">
        <v>50</v>
      </c>
      <c r="J42" s="954">
        <f t="array" ref="J42">INDEX(Data,MATCH($C42,Line_Items,0),MATCH(LEFT(J$40,4),Fiscal_Periods,0))</f>
        <v>0</v>
      </c>
      <c r="K42" s="954">
        <f t="array" ref="K42">INDEX(Data,MATCH($C42,Line_Items,0),MATCH(LEFT(K$40,4),Fiscal_Periods,0))</f>
        <v>0</v>
      </c>
      <c r="L42" s="956">
        <f t="shared" ref="L42:N44" si="6">IFERROR($H42/I42-1,"N/A")</f>
        <v>-1</v>
      </c>
      <c r="M42" s="623" t="str">
        <f t="shared" si="6"/>
        <v>N/A</v>
      </c>
      <c r="N42" s="623" t="str">
        <f t="shared" si="6"/>
        <v>N/A</v>
      </c>
      <c r="O42" s="8"/>
      <c r="P42" s="8"/>
      <c r="Q42" s="4"/>
      <c r="R42" s="4"/>
      <c r="S42" s="4"/>
      <c r="T42" s="4"/>
      <c r="U42" s="4"/>
      <c r="V42" s="4"/>
      <c r="W42" s="4"/>
      <c r="X42" s="4"/>
      <c r="Y42" s="4"/>
      <c r="Z42" s="4"/>
    </row>
    <row r="43" ht="14.25" customHeight="1" spans="1:26" x14ac:dyDescent="0.25">
      <c r="A43" s="8"/>
      <c r="B43" s="8"/>
      <c r="C43" s="8" t="str">
        <f>Model!C84</f>
        <v>Capital Expenditures</v>
      </c>
      <c r="D43" s="8"/>
      <c r="E43" s="8"/>
      <c r="F43" s="8"/>
      <c r="G43" s="8"/>
      <c r="H43" s="957">
        <f t="array" ref="H43">INDEX(Data,MATCH($C43,Line_Items,0),MATCH($H$6,Fiscal_Periods,0))</f>
        <v>0</v>
      </c>
      <c r="I43" s="958">
        <v>-668</v>
      </c>
      <c r="J43" s="957">
        <f t="array" ref="J43">INDEX(Data,MATCH($C43,Line_Items,0),MATCH(LEFT(J$40,4),Fiscal_Periods,0))</f>
        <v>0</v>
      </c>
      <c r="K43" s="957">
        <f t="array" ref="K43">INDEX(Data,MATCH($C43,Line_Items,0),MATCH(LEFT(K$40,4),Fiscal_Periods,0))</f>
        <v>0</v>
      </c>
      <c r="L43" s="956">
        <f t="shared" si="6"/>
        <v>-1</v>
      </c>
      <c r="M43" s="623" t="str">
        <f t="shared" si="6"/>
        <v>N/A</v>
      </c>
      <c r="N43" s="623" t="str">
        <f t="shared" si="6"/>
        <v>N/A</v>
      </c>
      <c r="O43" s="8"/>
      <c r="P43" s="8"/>
      <c r="Q43" s="4"/>
      <c r="R43" s="4"/>
      <c r="S43" s="4"/>
      <c r="T43" s="4"/>
      <c r="U43" s="4"/>
      <c r="V43" s="4"/>
      <c r="W43" s="4"/>
      <c r="X43" s="4"/>
      <c r="Y43" s="4"/>
      <c r="Z43" s="4"/>
    </row>
    <row r="44" ht="14.25" customHeight="1" spans="1:26" x14ac:dyDescent="0.25">
      <c r="A44" s="8"/>
      <c r="B44" s="8"/>
      <c r="C44" s="8" t="str">
        <f>Model!C115</f>
        <v>Free Cash Flow (FCF)</v>
      </c>
      <c r="D44" s="8"/>
      <c r="E44" s="8"/>
      <c r="F44" s="8"/>
      <c r="G44" s="8"/>
      <c r="H44" s="957">
        <f t="array" ref="H44">INDEX(Data,MATCH($C44,Line_Items,0),MATCH($H$6,Fiscal_Periods,0))</f>
        <v>4152.631</v>
      </c>
      <c r="I44" s="958">
        <v>1412.6</v>
      </c>
      <c r="J44" s="957">
        <f t="array" ref="J44">INDEX(Data,MATCH($C44,Line_Items,0),MATCH(LEFT(J$40,4),Fiscal_Periods,0))</f>
        <v>4009</v>
      </c>
      <c r="K44" s="957">
        <f t="array" ref="K44">INDEX(Data,MATCH($C44,Line_Items,0),MATCH(LEFT(K$40,4),Fiscal_Periods,0))</f>
        <v>4136</v>
      </c>
      <c r="L44" s="956">
        <f t="shared" si="6"/>
        <v>1.9397076313181372</v>
      </c>
      <c r="M44" s="623">
        <f t="shared" si="6"/>
        <v>0.03582713893739098</v>
      </c>
      <c r="N44" s="623">
        <f t="shared" si="6"/>
        <v>0.004021034816247715</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22" priority="1">
      <formula>$H$8="Report"</formula>
    </cfRule>
  </conditionalFormatting>
  <conditionalFormatting sqref="H12:K21">
    <cfRule type="expression" dxfId="123" priority="2">
      <formula>$H$8="Report"</formula>
    </cfRule>
  </conditionalFormatting>
  <conditionalFormatting sqref="H26:K37">
    <cfRule type="expression" dxfId="124" priority="3">
      <formula>$H$8="Report"</formula>
    </cfRule>
  </conditionalFormatting>
  <conditionalFormatting sqref="H42:K44">
    <cfRule type="expression" dxfId="125" priority="4">
      <formula>$H$8="Report"</formula>
    </cfRule>
  </conditionalFormatting>
  <conditionalFormatting sqref="J43:K44">
    <cfRule type="expression" dxfId="126" priority="5">
      <formula>$H$8="Report"</formula>
    </cfRule>
  </conditionalFormatting>
  <conditionalFormatting sqref="L12:N21">
    <cfRule type="cellIs" dxfId="127" priority="6" operator="lessThan">
      <formula>0</formula>
    </cfRule>
    <cfRule type="cellIs" dxfId="128" priority="7" operator="greaterThan">
      <formula>0</formula>
    </cfRule>
  </conditionalFormatting>
  <conditionalFormatting sqref="L26:N37">
    <cfRule type="cellIs" dxfId="129" priority="8" operator="lessThan">
      <formula>0</formula>
    </cfRule>
    <cfRule type="cellIs" dxfId="130" priority="9" operator="greaterThan">
      <formula>0</formula>
    </cfRule>
  </conditionalFormatting>
  <conditionalFormatting sqref="L42:N44">
    <cfRule type="cellIs" dxfId="131" priority="10" operator="lessThan">
      <formula>0</formula>
    </cfRule>
    <cfRule type="cellIs" dxfId="132"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4.25" customHeight="1" spans="1:26" x14ac:dyDescent="0.25">
      <c r="A1" s="1"/>
      <c r="B1" s="1"/>
      <c r="C1" s="2" t="str">
        <f>Company_Name&amp;" - "&amp;MID(CELL("filename",A1),FIND("]",CELL("filename",A1))+1,255)&amp;": "&amp;Case_Scenario&amp;" Case"</f>
        <v>Republic Services,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1160</v>
      </c>
      <c r="D4" s="8"/>
      <c r="E4" s="8"/>
      <c r="F4" s="8"/>
      <c r="G4" s="8"/>
      <c r="H4" s="42" t="s">
        <v>33</v>
      </c>
      <c r="I4" s="8"/>
      <c r="J4" s="971" t="s">
        <v>1038</v>
      </c>
      <c r="K4" s="8"/>
      <c r="L4" s="8"/>
      <c r="M4" s="8"/>
      <c r="N4" s="8"/>
      <c r="O4" s="8"/>
      <c r="P4" s="8"/>
      <c r="Q4" s="8"/>
      <c r="R4" s="8"/>
      <c r="S4" s="4"/>
      <c r="T4" s="4"/>
      <c r="U4" s="4"/>
      <c r="V4" s="4"/>
      <c r="W4" s="4"/>
      <c r="X4" s="4"/>
      <c r="Y4" s="4"/>
      <c r="Z4" s="4"/>
    </row>
    <row r="5" ht="14.25" customHeight="1" spans="1:26" x14ac:dyDescent="0.25">
      <c r="A5" s="8"/>
      <c r="B5" s="8"/>
      <c r="C5" s="8" t="s">
        <v>1162</v>
      </c>
      <c r="D5" s="8"/>
      <c r="E5" s="8"/>
      <c r="F5" s="8"/>
      <c r="G5" s="8"/>
      <c r="H5" s="951">
        <f>YEAR(Next_FYE)</f>
        <v>2026</v>
      </c>
      <c r="I5" s="8"/>
      <c r="J5" s="8"/>
      <c r="K5" s="8"/>
      <c r="L5" s="8"/>
      <c r="M5" s="8"/>
      <c r="N5" s="8"/>
      <c r="O5" s="8"/>
      <c r="P5" s="8"/>
      <c r="Q5" s="8"/>
      <c r="R5" s="8"/>
      <c r="S5" s="4"/>
      <c r="T5" s="4"/>
      <c r="U5" s="4"/>
      <c r="V5" s="4"/>
      <c r="W5" s="4"/>
      <c r="X5" s="4"/>
      <c r="Y5" s="4"/>
      <c r="Z5" s="4"/>
    </row>
    <row r="6" ht="14.25" customHeight="1" spans="1:26" x14ac:dyDescent="0.25">
      <c r="A6" s="8"/>
      <c r="B6" s="8"/>
      <c r="C6" s="8" t="s">
        <v>1163</v>
      </c>
      <c r="D6" s="8"/>
      <c r="E6" s="8"/>
      <c r="F6" s="8"/>
      <c r="G6" s="8"/>
      <c r="H6" s="952"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1164</v>
      </c>
      <c r="D7" s="8"/>
      <c r="E7" s="8"/>
      <c r="F7" s="8"/>
      <c r="G7" s="8"/>
      <c r="H7" s="951">
        <f>YEAR(Last_FYE)</f>
        <v>2025</v>
      </c>
      <c r="I7" s="8"/>
      <c r="J7" s="8"/>
      <c r="K7" s="8"/>
      <c r="L7" s="8"/>
      <c r="M7" s="8"/>
      <c r="N7" s="8"/>
      <c r="O7" s="8"/>
      <c r="P7" s="8"/>
      <c r="Q7" s="8"/>
      <c r="R7" s="8"/>
      <c r="S7" s="4"/>
      <c r="T7" s="4"/>
      <c r="U7" s="4"/>
      <c r="V7" s="4"/>
      <c r="W7" s="4"/>
      <c r="X7" s="4"/>
      <c r="Y7" s="4"/>
      <c r="Z7" s="4"/>
    </row>
    <row r="8" ht="14.25" customHeight="1" spans="1:26" x14ac:dyDescent="0.25">
      <c r="A8" s="8"/>
      <c r="B8" s="8"/>
      <c r="C8" s="8" t="s">
        <v>1165</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57" t="s">
        <v>3</v>
      </c>
      <c r="C10" s="101" t="str">
        <f>Ticker&amp;" "&amp;H4&amp;RIGHT(H5,2)&amp;" Operating Results"</f>
        <v>RSG 4Q26 Operating Results</v>
      </c>
      <c r="D10" s="101"/>
      <c r="E10" s="101"/>
      <c r="F10" s="101"/>
      <c r="G10" s="101"/>
      <c r="H10" s="102" t="str">
        <f>H4&amp;RIGHT(H5,2)&amp;"a"</f>
        <v>4Q26a</v>
      </c>
      <c r="I10" s="102" t="s">
        <v>1166</v>
      </c>
      <c r="J10" s="102" t="s">
        <v>1167</v>
      </c>
      <c r="K10" s="102" t="str">
        <f>H4&amp;RIGHT(H7,2)&amp;"a"</f>
        <v>4Q25a</v>
      </c>
      <c r="L10" s="102" t="str">
        <f>Last_FQR&amp;RIGHT(H5,2)&amp;"a"</f>
        <v>4Q26a</v>
      </c>
      <c r="M10" s="953" t="str">
        <f>"v. "&amp;I10</f>
        <v>v. OFe</v>
      </c>
      <c r="N10" s="102" t="str">
        <f>"v. "&amp;J10</f>
        <v>v. Consensus</v>
      </c>
      <c r="O10" s="102" t="str">
        <f>"v. "&amp;K10</f>
        <v>v. 4Q25a</v>
      </c>
      <c r="P10" s="102" t="str">
        <f>"v. "&amp;L10</f>
        <v>v. 4Q26a</v>
      </c>
      <c r="Q10" s="191"/>
      <c r="R10" s="191"/>
      <c r="S10" s="4"/>
      <c r="T10" s="4"/>
      <c r="U10" s="4"/>
      <c r="V10" s="4"/>
      <c r="W10" s="4"/>
      <c r="X10" s="4"/>
      <c r="Y10" s="4"/>
      <c r="Z10" s="4"/>
    </row>
    <row r="11" ht="4.5" customHeight="1" spans="1:26" x14ac:dyDescent="0.25">
      <c r="A11" s="8"/>
      <c r="B11" s="257"/>
      <c r="C11" s="40"/>
      <c r="D11" s="40"/>
      <c r="E11" s="40"/>
      <c r="F11" s="40"/>
      <c r="G11" s="40"/>
      <c r="H11" s="40"/>
      <c r="I11" s="191"/>
      <c r="J11" s="191"/>
      <c r="K11" s="191"/>
      <c r="L11" s="191"/>
      <c r="M11" s="191"/>
      <c r="N11" s="191"/>
      <c r="O11" s="191"/>
      <c r="P11" s="191"/>
      <c r="Q11" s="191"/>
      <c r="R11" s="191"/>
      <c r="S11" s="4"/>
      <c r="T11" s="4"/>
      <c r="U11" s="4"/>
      <c r="V11" s="4"/>
      <c r="W11" s="4"/>
      <c r="X11" s="4"/>
      <c r="Y11" s="4"/>
      <c r="Z11" s="4"/>
    </row>
    <row r="12" ht="14.25" customHeight="1" spans="1:26" x14ac:dyDescent="0.25">
      <c r="A12" s="8"/>
      <c r="B12" s="8"/>
      <c r="C12" s="8" t="str">
        <f>Model!C28</f>
        <v>Revenue</v>
      </c>
      <c r="D12" s="8"/>
      <c r="E12" s="8"/>
      <c r="F12" s="8"/>
      <c r="G12" s="8"/>
      <c r="H12" s="954">
        <f t="array" ref="H12">INDEX(Data,MATCH($C12,Line_Items,0),MATCH($H$6,Fiscal_Periods,0))</f>
        <v>4435.81544325</v>
      </c>
      <c r="I12" s="954">
        <f t="array" ref="I12">INDEX(Data,MATCH($C12,Line_Items,0),MATCH($H$6,Fiscal_Periods,0))</f>
        <v>4435.81544325</v>
      </c>
      <c r="J12" s="955">
        <v>19670.3</v>
      </c>
      <c r="K12" s="954">
        <f t="array" ref="K12">INDEX(Data,MATCH($C12,Line_Items,0),MATCH(LEFT(K$10,4),Fiscal_Periods,0))</f>
        <v>4136</v>
      </c>
      <c r="L12" s="954" t="e">
        <f t="array" ref="L12">INDEX(Data,MATCH($C12,Line_Items,0),MATCH(LEFT(L$10,4),Fiscal_Periods,0))</f>
        <v>#N/A</v>
      </c>
      <c r="M12" s="956">
        <f>IFERROR($H12/I12-1,"N/A")</f>
        <v>0</v>
      </c>
      <c r="N12" s="623">
        <f>IFERROR($H12/J12-1,"N/A")</f>
        <v>-0.774491723906092</v>
      </c>
      <c r="O12" s="623">
        <f>IFERROR($I12/K12-1,"N/A")</f>
        <v>0.0724892270913926</v>
      </c>
      <c r="P12" s="623" t="str">
        <f>IFERROR($I12/L12-1,"N/A")</f>
        <v>N/A</v>
      </c>
      <c r="Q12" s="8"/>
      <c r="R12" s="8"/>
      <c r="S12" s="4"/>
      <c r="T12" s="4"/>
      <c r="U12" s="4"/>
      <c r="V12" s="4"/>
      <c r="W12" s="4"/>
      <c r="X12" s="4"/>
      <c r="Y12" s="4"/>
      <c r="Z12" s="4"/>
    </row>
    <row r="13" ht="14.25" customHeight="1" spans="1:26" x14ac:dyDescent="0.25">
      <c r="A13" s="8"/>
      <c r="B13" s="8"/>
      <c r="C13" s="8" t="str">
        <f>Model!C30</f>
        <v>Gross Profit</v>
      </c>
      <c r="D13" s="8"/>
      <c r="E13" s="8"/>
      <c r="F13" s="8"/>
      <c r="G13" s="8"/>
      <c r="H13" s="957">
        <f t="array" ref="H13">INDEX(Data,MATCH($C13,Line_Items,0),MATCH($H$6,Fiscal_Periods,0))</f>
        <v>1880.7857479379995</v>
      </c>
      <c r="I13" s="957">
        <f t="array" ref="I13">INDEX(Data,MATCH($C13,Line_Items,0),MATCH($H$6,Fiscal_Periods,0))</f>
        <v>1880.7857479379995</v>
      </c>
      <c r="J13" s="958">
        <v>3968.1</v>
      </c>
      <c r="K13" s="957">
        <f t="array" ref="K13">INDEX(Data,MATCH($C13,Line_Items,0),MATCH(LEFT(K$10,4),Fiscal_Periods,0))</f>
        <v>4136</v>
      </c>
      <c r="L13" s="957" t="e">
        <f t="array" ref="L13">INDEX(Data,MATCH($C13,Line_Items,0),MATCH(LEFT(L$10,4),Fiscal_Periods,0))</f>
        <v>#N/A</v>
      </c>
      <c r="M13" s="956">
        <f>IFERROR($H13/I13-1,"N/A")</f>
        <v>0</v>
      </c>
      <c r="N13" s="623">
        <f>IFERROR($H13/J13-1,"N/A")</f>
        <v>-0.5260236012353521</v>
      </c>
      <c r="O13" s="623">
        <f>IFERROR($H13/K13-1,"N/A")</f>
        <v>-0.5452645677132496</v>
      </c>
      <c r="P13" s="623" t="str">
        <f>IFERROR($H13/L13-1,"N/A")</f>
        <v>N/A</v>
      </c>
      <c r="Q13" s="8"/>
      <c r="R13" s="8"/>
      <c r="S13" s="4"/>
      <c r="T13" s="4"/>
      <c r="U13" s="4"/>
      <c r="V13" s="4"/>
      <c r="W13" s="4"/>
      <c r="X13" s="4"/>
      <c r="Y13" s="4"/>
      <c r="Z13" s="4"/>
    </row>
    <row r="14" ht="14.25" customHeight="1" spans="1:26" x14ac:dyDescent="0.25">
      <c r="A14" s="8"/>
      <c r="B14" s="8"/>
      <c r="C14" s="111" t="str">
        <f>Model!C68</f>
        <v>Gross Margin</v>
      </c>
      <c r="D14" s="8"/>
      <c r="E14" s="8"/>
      <c r="F14" s="8"/>
      <c r="G14" s="8"/>
      <c r="H14" s="959">
        <f t="array" ref="H14">INDEX(Data,MATCH($C14,Line_Items,0),MATCH($H$6,Fiscal_Periods,0))</f>
        <v>0.424</v>
      </c>
      <c r="I14" s="959">
        <f t="array" ref="I14">INDEX(Data,MATCH($C14,Line_Items,0),MATCH($H$6,Fiscal_Periods,0))</f>
        <v>0.424</v>
      </c>
      <c r="J14" s="960">
        <v>0.202</v>
      </c>
      <c r="K14" s="959">
        <f t="array" ref="K14">INDEX(Data,MATCH($C14,Line_Items,0),MATCH(LEFT(K$10,4),Fiscal_Periods,0))</f>
        <v>1</v>
      </c>
      <c r="L14" s="959" t="e">
        <f t="array" ref="L14">INDEX(Data,MATCH($C14,Line_Items,0),MATCH(LEFT(L$10,4),Fiscal_Periods,0))</f>
        <v>#N/A</v>
      </c>
      <c r="M14" s="961">
        <f>$H14-I14</f>
        <v>0</v>
      </c>
      <c r="N14" s="962">
        <f>$H14-J14</f>
        <v>0.22199999999999998</v>
      </c>
      <c r="O14" s="962">
        <f>$H14-K14</f>
        <v>-0.5760000000000001</v>
      </c>
      <c r="P14" s="962" t="e">
        <f>$H14-L14</f>
        <v>#N/A</v>
      </c>
      <c r="Q14" s="8"/>
      <c r="R14" s="8"/>
      <c r="S14" s="4"/>
      <c r="T14" s="4"/>
      <c r="U14" s="4"/>
      <c r="V14" s="4"/>
      <c r="W14" s="4"/>
      <c r="X14" s="4"/>
      <c r="Y14" s="4"/>
      <c r="Z14" s="4"/>
    </row>
    <row r="15" ht="14.25" customHeight="1" spans="1:26" x14ac:dyDescent="0.25">
      <c r="A15" s="8"/>
      <c r="B15" s="8"/>
      <c r="C15" s="8" t="str">
        <f>Model!C61</f>
        <v>EBITDA</v>
      </c>
      <c r="D15" s="8"/>
      <c r="E15" s="8"/>
      <c r="F15" s="8"/>
      <c r="G15" s="8"/>
      <c r="H15" s="957">
        <f t="array" ref="H15">INDEX(Data,MATCH($C15,Line_Items,0),MATCH($H$6,Fiscal_Periods,0))</f>
        <v>1388.4102337372497</v>
      </c>
      <c r="I15" s="957">
        <f t="array" ref="I15">INDEX(Data,MATCH($C15,Line_Items,0),MATCH($H$6,Fiscal_Periods,0))</f>
        <v>1388.4102337372497</v>
      </c>
      <c r="J15" s="958">
        <v>2224.4</v>
      </c>
      <c r="K15" s="957">
        <f t="array" ref="K15">INDEX(Data,MATCH($C15,Line_Items,0),MATCH(LEFT(K$10,4),Fiscal_Periods,0))</f>
        <v>4136</v>
      </c>
      <c r="L15" s="957" t="e">
        <f t="array" ref="L15">INDEX(Data,MATCH($C15,Line_Items,0),MATCH(LEFT(L$10,4),Fiscal_Periods,0))</f>
        <v>#N/A</v>
      </c>
      <c r="M15" s="956">
        <f>IFERROR($H15/I15-1,"N/A")</f>
        <v>0</v>
      </c>
      <c r="N15" s="623">
        <f>IFERROR($H15/J15-1,"N/A")</f>
        <v>-0.3758270842756476</v>
      </c>
      <c r="O15" s="623">
        <f>IFERROR($H15/K15-1,"N/A")</f>
        <v>0.10366473270051646</v>
      </c>
      <c r="P15" s="623" t="str">
        <f>IFERROR($H15/L15-1,"N/A")</f>
        <v>N/A</v>
      </c>
      <c r="Q15" s="8"/>
      <c r="R15" s="8"/>
      <c r="S15" s="4"/>
      <c r="T15" s="4"/>
      <c r="U15" s="4"/>
      <c r="V15" s="4"/>
      <c r="W15" s="4"/>
      <c r="X15" s="4"/>
      <c r="Y15" s="4"/>
      <c r="Z15" s="4"/>
    </row>
    <row r="16" ht="14.25" customHeight="1" spans="1:26" x14ac:dyDescent="0.25">
      <c r="A16" s="8"/>
      <c r="B16" s="8"/>
      <c r="C16" s="111" t="str">
        <f>'Segment Analysis'!C147</f>
        <v>EBITDA Margin</v>
      </c>
      <c r="D16" s="8"/>
      <c r="E16" s="8"/>
      <c r="F16" s="8"/>
      <c r="G16" s="8"/>
      <c r="H16" s="963">
        <f>H15/$H$12</f>
        <v>0.31299999999999994</v>
      </c>
      <c r="I16" s="963">
        <f>I15/$H$12</f>
        <v>0.31299999999999994</v>
      </c>
      <c r="J16" s="960">
        <v>0.113</v>
      </c>
      <c r="K16" s="963">
        <f>K15/$H$12</f>
        <v>0.9324102981547102</v>
      </c>
      <c r="L16" s="963" t="e">
        <f>L15/$H$12</f>
        <v>#N/A</v>
      </c>
      <c r="M16" s="961">
        <f>$H16-I16</f>
        <v>0</v>
      </c>
      <c r="N16" s="962">
        <f>$H16-J16</f>
        <v>0.19999999999999996</v>
      </c>
      <c r="O16" s="962">
        <f>$H16-K16</f>
        <v>0.029399382234374827</v>
      </c>
      <c r="P16" s="962" t="e">
        <f>$H16-L16</f>
        <v>#N/A</v>
      </c>
      <c r="Q16" s="8"/>
      <c r="R16" s="8"/>
      <c r="S16" s="4"/>
      <c r="T16" s="4"/>
      <c r="U16" s="4"/>
      <c r="V16" s="4"/>
      <c r="W16" s="4"/>
      <c r="X16" s="4"/>
      <c r="Y16" s="4"/>
      <c r="Z16" s="4"/>
    </row>
    <row r="17" ht="14.25" customHeight="1" spans="1:26" x14ac:dyDescent="0.25">
      <c r="A17" s="8"/>
      <c r="B17" s="8"/>
      <c r="C17" s="8" t="str">
        <f>Model!C36</f>
        <v>EBIT</v>
      </c>
      <c r="D17" s="8"/>
      <c r="E17" s="8"/>
      <c r="F17" s="8"/>
      <c r="G17" s="8"/>
      <c r="H17" s="957">
        <f t="array" ref="H17">INDEX(Data,MATCH($C17,Line_Items,0),MATCH($H$6,Fiscal_Periods,0))</f>
        <v>893.9576914541115</v>
      </c>
      <c r="I17" s="957">
        <f t="array" ref="I17">INDEX(Data,MATCH($C17,Line_Items,0),MATCH($H$6,Fiscal_Periods,0))</f>
        <v>893.9576914541115</v>
      </c>
      <c r="J17" s="958">
        <v>1952.8</v>
      </c>
      <c r="K17" s="957">
        <f t="array" ref="K17">INDEX(Data,MATCH($C17,Line_Items,0),MATCH(LEFT(K$10,4),Fiscal_Periods,0))</f>
        <v>4136</v>
      </c>
      <c r="L17" s="957" t="e">
        <f t="array" ref="L17">INDEX(Data,MATCH($C17,Line_Items,0),MATCH(LEFT(L$10,4),Fiscal_Periods,0))</f>
        <v>#N/A</v>
      </c>
      <c r="M17" s="956">
        <f>IFERROR($H17/I17-1,"N/A")</f>
        <v>0</v>
      </c>
      <c r="N17" s="623">
        <f>IFERROR($H17/J17-1,"N/A")</f>
        <v>-0.542217486965326</v>
      </c>
      <c r="O17" s="623">
        <f>IFERROR($H17/K17-1,"N/A")</f>
        <v>0.11744711431763921</v>
      </c>
      <c r="P17" s="623" t="str">
        <f>IFERROR($H17/L17-1,"N/A")</f>
        <v>N/A</v>
      </c>
      <c r="Q17" s="8"/>
      <c r="R17" s="8"/>
      <c r="S17" s="4"/>
      <c r="T17" s="4"/>
      <c r="U17" s="4"/>
      <c r="V17" s="4"/>
      <c r="W17" s="4"/>
      <c r="X17" s="4"/>
      <c r="Y17" s="4"/>
      <c r="Z17" s="4"/>
    </row>
    <row r="18" ht="14.25" customHeight="1" spans="1:26" x14ac:dyDescent="0.25">
      <c r="A18" s="8"/>
      <c r="B18" s="8"/>
      <c r="C18" s="111" t="str">
        <f>'Segment Analysis'!C155</f>
        <v>EBIT Margin</v>
      </c>
      <c r="D18" s="8"/>
      <c r="E18" s="8"/>
      <c r="F18" s="8"/>
      <c r="G18" s="8"/>
      <c r="H18" s="963">
        <f>H17/$H$12</f>
        <v>0.20153175958085698</v>
      </c>
      <c r="I18" s="963">
        <f>I17/$H$12</f>
        <v>0.20153175958085698</v>
      </c>
      <c r="J18" s="960">
        <v>0.099</v>
      </c>
      <c r="K18" s="963">
        <f>K17/$H$12</f>
        <v>0.9324102981547102</v>
      </c>
      <c r="L18" s="963" t="e">
        <f>L17/$H$12</f>
        <v>#N/A</v>
      </c>
      <c r="M18" s="961">
        <f>$H18-I18</f>
        <v>0</v>
      </c>
      <c r="N18" s="962">
        <f>$H18-J18</f>
        <v>0.10253175958085697</v>
      </c>
      <c r="O18" s="962">
        <f>$H18-K18</f>
        <v>0.021181605198901443</v>
      </c>
      <c r="P18" s="962" t="e">
        <f>$H18-L18</f>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7">
        <f t="array" ref="H19">INDEX(Data,MATCH($C19,Line_Items,0),MATCH($H$6,Fiscal_Periods,0))</f>
        <v>566.8519263406029</v>
      </c>
      <c r="I19" s="957">
        <f t="array" ref="I19">INDEX(Data,MATCH($C19,Line_Items,0),MATCH($H$6,Fiscal_Periods,0))</f>
        <v>566.8519263406029</v>
      </c>
      <c r="J19" s="958">
        <v>1379.1</v>
      </c>
      <c r="K19" s="957">
        <f t="array" ref="K19">INDEX(Data,MATCH($C19,Line_Items,0),MATCH(LEFT(K$10,4),Fiscal_Periods,0))</f>
        <v>4136</v>
      </c>
      <c r="L19" s="957" t="e">
        <f t="array" ref="L19">INDEX(Data,MATCH($C19,Line_Items,0),MATCH(LEFT(L$10,4),Fiscal_Periods,0))</f>
        <v>#N/A</v>
      </c>
      <c r="M19" s="956">
        <f>IFERROR($H19/I19-1,"N/A")</f>
        <v>0</v>
      </c>
      <c r="N19" s="623">
        <f>IFERROR($H19/J19-1,"N/A")</f>
        <v>-0.5889696712779328</v>
      </c>
      <c r="O19" s="623">
        <f>IFERROR($H19/K19-1,"N/A")</f>
        <v>0.04009527768917964</v>
      </c>
      <c r="P19" s="623" t="str">
        <f>IFERROR($H19/L19-1,"N/A")</f>
        <v>N/A</v>
      </c>
      <c r="Q19" s="8"/>
      <c r="R19" s="8"/>
      <c r="S19" s="4"/>
      <c r="T19" s="4"/>
      <c r="U19" s="4"/>
      <c r="V19" s="4"/>
      <c r="W19" s="4"/>
      <c r="X19" s="4"/>
      <c r="Y19" s="4"/>
      <c r="Z19" s="4"/>
    </row>
    <row r="20" ht="14.25" customHeight="1" spans="1:26" x14ac:dyDescent="0.25">
      <c r="A20" s="8"/>
      <c r="B20" s="8"/>
      <c r="C20" s="111" t="s">
        <v>601</v>
      </c>
      <c r="D20" s="8"/>
      <c r="E20" s="8"/>
      <c r="F20" s="8"/>
      <c r="G20" s="8"/>
      <c r="H20" s="959">
        <f>H19/H12</f>
        <v>0.12778979053404577</v>
      </c>
      <c r="I20" s="959">
        <f>I19/I12</f>
        <v>0.12778979053404577</v>
      </c>
      <c r="J20" s="960">
        <v>0.07</v>
      </c>
      <c r="K20" s="959">
        <f>K19/K12</f>
        <v>1</v>
      </c>
      <c r="L20" s="959" t="e">
        <f>L19/L12</f>
        <v>#N/A</v>
      </c>
      <c r="M20" s="961">
        <f>$H20-I20</f>
        <v>0</v>
      </c>
      <c r="N20" s="962">
        <f>$H20-J20</f>
        <v>0.05778979053404576</v>
      </c>
      <c r="O20" s="962">
        <f>$H20-K20</f>
        <v>-0.003980035384716335</v>
      </c>
      <c r="P20" s="962" t="e">
        <f>$H20-L20</f>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64">
        <f t="array" ref="H21">INDEX(Data,MATCH($C21,Line_Items,0),MATCH($H$6,Fiscal_Periods,0))</f>
        <v>1.8150878204950458</v>
      </c>
      <c r="I21" s="964">
        <f t="array" ref="I21">INDEX(Data,MATCH($C21,Line_Items,0),MATCH($H$6,Fiscal_Periods,0))</f>
        <v>1.8150878204950458</v>
      </c>
      <c r="J21" s="965">
        <v>2.15</v>
      </c>
      <c r="K21" s="964" t="e">
        <f t="array" ref="K21">INDEX(Data,MATCH($C21,Line_Items,0),MATCH(LEFT(K$10,4),Fiscal_Periods,0))</f>
        <v>#DIV/0!</v>
      </c>
      <c r="L21" s="964" t="e">
        <f t="array" ref="L21">INDEX(Data,MATCH($C21,Line_Items,0),MATCH(LEFT(L$10,4),Fiscal_Periods,0))</f>
        <v>#N/A</v>
      </c>
      <c r="M21" s="956">
        <f>IFERROR($H21/I21-1,"N/A")</f>
        <v>0</v>
      </c>
      <c r="N21" s="623">
        <f>IFERROR($H21/J21-1,"N/A")</f>
        <v>-0.15577310674649025</v>
      </c>
      <c r="O21" s="623">
        <f>IFERROR($H21/K21-1,"N/A")</f>
        <v>0.04509093224100069</v>
      </c>
      <c r="P21" s="623" t="str">
        <f>IFERROR($H21/L21-1,"N/A")</f>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57" t="s">
        <v>3</v>
      </c>
      <c r="C24" s="101" t="str">
        <f>Ticker&amp;" "&amp;H4&amp;RIGHT(H5,2)&amp;" Segment Results"</f>
        <v>RSG 4Q26 Segment Results</v>
      </c>
      <c r="D24" s="101"/>
      <c r="E24" s="101"/>
      <c r="F24" s="101"/>
      <c r="G24" s="101"/>
      <c r="H24" s="102" t="str">
        <f t="shared" ref="H24:P24" si="0">H10</f>
        <v>4Q26a</v>
      </c>
      <c r="I24" s="102" t="str">
        <f t="shared" si="0"/>
        <v>OFe</v>
      </c>
      <c r="J24" s="102" t="str">
        <f t="shared" si="0"/>
        <v>Consensus</v>
      </c>
      <c r="K24" s="102" t="str">
        <f t="shared" si="0"/>
        <v>4Q25a</v>
      </c>
      <c r="L24" s="102" t="str">
        <f t="shared" si="0"/>
        <v>4Q26a</v>
      </c>
      <c r="M24" s="953" t="str">
        <f t="shared" si="0"/>
        <v>v. OFe</v>
      </c>
      <c r="N24" s="102" t="str">
        <f t="shared" si="0"/>
        <v>v. Consensus</v>
      </c>
      <c r="O24" s="102" t="str">
        <f t="shared" si="0"/>
        <v>v. 4Q25a</v>
      </c>
      <c r="P24" s="102" t="str">
        <f t="shared" si="0"/>
        <v>v. 4Q26a</v>
      </c>
      <c r="Q24" s="8"/>
      <c r="R24" s="8"/>
      <c r="S24" s="4"/>
      <c r="T24" s="4"/>
      <c r="U24" s="4"/>
      <c r="V24" s="4"/>
      <c r="W24" s="4"/>
      <c r="X24" s="4"/>
      <c r="Y24" s="4"/>
      <c r="Z24" s="4"/>
    </row>
    <row r="25" ht="4.5" customHeight="1" spans="1:26" x14ac:dyDescent="0.25">
      <c r="A25" s="8"/>
      <c r="B25" s="257"/>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Analysis'!C9</f>
        <v>Collection Revenue</v>
      </c>
      <c r="D26" s="8"/>
      <c r="E26" s="8"/>
      <c r="F26" s="8"/>
      <c r="G26" s="8"/>
      <c r="H26" s="954" t="e">
        <f t="array" ref="H26">INDEX(Data,MATCH($C26,Line_Items,0),MATCH($H$6,Fiscal_Periods,0))</f>
        <v>#N/A</v>
      </c>
      <c r="I26" s="954" t="e">
        <f t="array" ref="I26">INDEX(Data,MATCH($C26,Line_Items,0),MATCH($H$6,Fiscal_Periods,0))</f>
        <v>#N/A</v>
      </c>
      <c r="J26" s="955">
        <v>6520.1</v>
      </c>
      <c r="K26" s="954" t="e">
        <f t="array" ref="K26">INDEX(Data,MATCH($C26,Line_Items,0),MATCH(LEFT(K$24,4),Fiscal_Periods,0))</f>
        <v>#N/A</v>
      </c>
      <c r="L26" s="954" t="e">
        <f t="array" ref="L26">INDEX(Data,MATCH($C26,Line_Items,0),MATCH(LEFT(L$24,4),Fiscal_Periods,0))</f>
        <v>#N/A</v>
      </c>
      <c r="M26" s="956" t="str">
        <f t="shared" ref="M26:M37" si="1">IFERROR($H26/I26-1,"N/A")</f>
        <v>N/A</v>
      </c>
      <c r="N26" s="623" t="str">
        <f t="shared" ref="N26:N37" si="2">IFERROR($H26/J26-1,"N/A")</f>
        <v>N/A</v>
      </c>
      <c r="O26" s="623" t="str">
        <f t="shared" ref="O26:O37" si="3">IFERROR($I26/K26-1,"N/A")</f>
        <v>N/A</v>
      </c>
      <c r="P26" s="623" t="str">
        <f t="shared" ref="P26:P37" si="4">IFERROR($I26/L26-1,"N/A")</f>
        <v>N/A</v>
      </c>
      <c r="Q26" s="8"/>
      <c r="R26" s="8"/>
      <c r="S26" s="4"/>
      <c r="T26" s="4"/>
      <c r="U26" s="4"/>
      <c r="V26" s="4"/>
      <c r="W26" s="4"/>
      <c r="X26" s="4"/>
      <c r="Y26" s="4"/>
      <c r="Z26" s="4"/>
    </row>
    <row r="27" ht="14.25" customHeight="1" spans="1:26" x14ac:dyDescent="0.25">
      <c r="A27" s="8"/>
      <c r="B27" s="8"/>
      <c r="C27" s="8" t="str">
        <f>'Segment Analysis'!C10</f>
        <v>Landfill Revenue</v>
      </c>
      <c r="D27" s="8"/>
      <c r="E27" s="8"/>
      <c r="F27" s="8"/>
      <c r="G27" s="8"/>
      <c r="H27" s="957" t="e">
        <f t="array" ref="H27">INDEX(Data,MATCH($C27,Line_Items,0),MATCH($H$6,Fiscal_Periods,0))</f>
        <v>#N/A</v>
      </c>
      <c r="I27" s="957" t="e">
        <f t="array" ref="I27">INDEX(Data,MATCH($C27,Line_Items,0),MATCH($H$6,Fiscal_Periods,0))</f>
        <v>#N/A</v>
      </c>
      <c r="J27" s="958">
        <v>11000.3</v>
      </c>
      <c r="K27" s="957" t="e">
        <f t="array" ref="K27">INDEX(Data,MATCH($C27,Line_Items,0),MATCH(LEFT(K$24,4),Fiscal_Periods,0))</f>
        <v>#N/A</v>
      </c>
      <c r="L27" s="957" t="e">
        <f t="array" ref="L27">INDEX(Data,MATCH($C27,Line_Items,0),MATCH(LEFT(L$24,4),Fiscal_Periods,0))</f>
        <v>#N/A</v>
      </c>
      <c r="M27" s="956" t="str">
        <f t="shared" si="1"/>
        <v>N/A</v>
      </c>
      <c r="N27" s="623" t="str">
        <f t="shared" si="2"/>
        <v>N/A</v>
      </c>
      <c r="O27" s="623" t="str">
        <f t="shared" si="3"/>
        <v>N/A</v>
      </c>
      <c r="P27" s="623" t="str">
        <f t="shared" si="4"/>
        <v>N/A</v>
      </c>
      <c r="Q27" s="8"/>
      <c r="R27" s="8"/>
      <c r="S27" s="4"/>
      <c r="T27" s="4"/>
      <c r="U27" s="4"/>
      <c r="V27" s="4"/>
      <c r="W27" s="4"/>
      <c r="X27" s="4"/>
      <c r="Y27" s="4"/>
      <c r="Z27" s="4"/>
    </row>
    <row r="28" ht="14.25" customHeight="1" spans="1:26" x14ac:dyDescent="0.25">
      <c r="A28" s="8"/>
      <c r="B28" s="8"/>
      <c r="C28" s="8" t="str">
        <f>'Segment Analysis'!C11</f>
        <v>Environmental solutions Revenue</v>
      </c>
      <c r="D28" s="8"/>
      <c r="E28" s="8"/>
      <c r="F28" s="8"/>
      <c r="G28" s="8"/>
      <c r="H28" s="957" t="e">
        <f t="array" ref="H28">INDEX(Data,MATCH($C28,Line_Items,0),MATCH($H$6,Fiscal_Periods,0))</f>
        <v>#N/A</v>
      </c>
      <c r="I28" s="957" t="e">
        <f t="array" ref="I28">INDEX(Data,MATCH($C28,Line_Items,0),MATCH($H$6,Fiscal_Periods,0))</f>
        <v>#N/A</v>
      </c>
      <c r="J28" s="958">
        <v>75</v>
      </c>
      <c r="K28" s="957" t="e">
        <f t="array" ref="K28">INDEX(Data,MATCH($C28,Line_Items,0),MATCH(LEFT(K$24,4),Fiscal_Periods,0))</f>
        <v>#N/A</v>
      </c>
      <c r="L28" s="957" t="e">
        <f t="array" ref="L28">INDEX(Data,MATCH($C28,Line_Items,0),MATCH(LEFT(L$24,4),Fiscal_Periods,0))</f>
        <v>#N/A</v>
      </c>
      <c r="M28" s="956" t="str">
        <f t="shared" si="1"/>
        <v>N/A</v>
      </c>
      <c r="N28" s="623" t="str">
        <f t="shared" si="2"/>
        <v>N/A</v>
      </c>
      <c r="O28" s="623" t="str">
        <f t="shared" si="3"/>
        <v>N/A</v>
      </c>
      <c r="P28" s="623" t="str">
        <f t="shared" si="4"/>
        <v>N/A</v>
      </c>
      <c r="Q28" s="8"/>
      <c r="R28" s="8"/>
      <c r="S28" s="4"/>
      <c r="T28" s="4"/>
      <c r="U28" s="4"/>
      <c r="V28" s="4"/>
      <c r="W28" s="4"/>
      <c r="X28" s="4"/>
      <c r="Y28" s="4"/>
      <c r="Z28" s="4"/>
    </row>
    <row r="29" ht="14.25" customHeight="1" spans="1:26" x14ac:dyDescent="0.25">
      <c r="A29" s="8"/>
      <c r="B29" s="8"/>
      <c r="C29" s="8" t="str">
        <f>'Segment Analysis'!C12</f>
        <v>Transfer Revenue</v>
      </c>
      <c r="D29" s="8"/>
      <c r="E29" s="8"/>
      <c r="F29" s="8"/>
      <c r="G29" s="8"/>
      <c r="H29" s="957" t="e">
        <f t="array" ref="H29">INDEX(Data,MATCH($C29,Line_Items,0),MATCH($H$6,Fiscal_Periods,0))</f>
        <v>#N/A</v>
      </c>
      <c r="I29" s="957" t="e">
        <f t="array" ref="I29">INDEX(Data,MATCH($C29,Line_Items,0),MATCH($H$6,Fiscal_Periods,0))</f>
        <v>#N/A</v>
      </c>
      <c r="J29" s="958">
        <v>-200</v>
      </c>
      <c r="K29" s="957" t="e">
        <f t="array" ref="K29">INDEX(Data,MATCH($C29,Line_Items,0),MATCH(LEFT(K$24,4),Fiscal_Periods,0))</f>
        <v>#N/A</v>
      </c>
      <c r="L29" s="957" t="e">
        <f t="array" ref="L29">INDEX(Data,MATCH($C29,Line_Items,0),MATCH(LEFT(L$24,4),Fiscal_Periods,0))</f>
        <v>#N/A</v>
      </c>
      <c r="M29" s="956" t="str">
        <f t="shared" si="1"/>
        <v>N/A</v>
      </c>
      <c r="N29" s="623" t="str">
        <f t="shared" si="2"/>
        <v>N/A</v>
      </c>
      <c r="O29" s="623" t="str">
        <f t="shared" si="3"/>
        <v>N/A</v>
      </c>
      <c r="P29" s="623" t="str">
        <f t="shared" si="4"/>
        <v>N/A</v>
      </c>
      <c r="Q29" s="8"/>
      <c r="R29" s="8"/>
      <c r="S29" s="4"/>
      <c r="T29" s="4"/>
      <c r="U29" s="4"/>
      <c r="V29" s="4"/>
      <c r="W29" s="4"/>
      <c r="X29" s="4"/>
      <c r="Y29" s="4"/>
      <c r="Z29" s="4"/>
    </row>
    <row r="30" ht="14.25" customHeight="1" spans="1:26" x14ac:dyDescent="0.25">
      <c r="A30" s="8"/>
      <c r="B30" s="8"/>
      <c r="C30" s="618" t="str">
        <f>'Segment Analysis'!C13</f>
        <v>Other Revenue</v>
      </c>
      <c r="D30" s="618"/>
      <c r="E30" s="618"/>
      <c r="F30" s="618"/>
      <c r="G30" s="618"/>
      <c r="H30" s="966" t="e">
        <f t="array" ref="H30">INDEX(Data,MATCH($C30,Line_Items,0),MATCH($H$6,Fiscal_Periods,0))</f>
        <v>#N/A</v>
      </c>
      <c r="I30" s="966" t="e">
        <f t="array" ref="I30">INDEX(Data,MATCH($C30,Line_Items,0),MATCH($H$6,Fiscal_Periods,0))</f>
        <v>#N/A</v>
      </c>
      <c r="J30" s="967">
        <v>5000</v>
      </c>
      <c r="K30" s="966" t="e">
        <f t="array" ref="K30">INDEX(Data,MATCH($C30,Line_Items,0),MATCH(LEFT(K$24,4),Fiscal_Periods,0))</f>
        <v>#N/A</v>
      </c>
      <c r="L30" s="966" t="e">
        <f t="array" ref="L30">INDEX(Data,MATCH($C30,Line_Items,0),MATCH(LEFT(L$24,4),Fiscal_Periods,0))</f>
        <v>#N/A</v>
      </c>
      <c r="M30" s="968" t="str">
        <f t="shared" si="1"/>
        <v>N/A</v>
      </c>
      <c r="N30" s="619" t="str">
        <f t="shared" si="2"/>
        <v>N/A</v>
      </c>
      <c r="O30" s="619" t="str">
        <f t="shared" si="3"/>
        <v>N/A</v>
      </c>
      <c r="P30" s="619" t="str">
        <f t="shared" si="4"/>
        <v>N/A</v>
      </c>
      <c r="Q30" s="8"/>
      <c r="R30" s="8"/>
      <c r="S30" s="4"/>
      <c r="T30" s="4"/>
      <c r="U30" s="4"/>
      <c r="V30" s="4"/>
      <c r="W30" s="4"/>
      <c r="X30" s="4"/>
      <c r="Y30" s="4"/>
      <c r="Z30" s="4"/>
    </row>
    <row r="31" ht="14.25" customHeight="1" hidden="1" spans="1:26" x14ac:dyDescent="0.25" outlineLevel="1" collapsed="1">
      <c r="A31" s="8"/>
      <c r="B31" s="8"/>
      <c r="C31" s="618" t="str">
        <f>'Segment Analysis'!C14</f>
        <v>Professional Services and Other Revenue</v>
      </c>
      <c r="D31" s="618"/>
      <c r="E31" s="618"/>
      <c r="F31" s="618"/>
      <c r="G31" s="618"/>
      <c r="H31" s="969" t="e">
        <f t="array" ref="H31">INDEX(Data,MATCH($C31,Line_Items,0),MATCH($H$6,Fiscal_Periods,0))</f>
        <v>#N/A</v>
      </c>
      <c r="I31" s="969" t="e">
        <f t="array" ref="I31">INDEX(Data,MATCH($C31,Line_Items,0),MATCH($H$6,Fiscal_Periods,0))</f>
        <v>#N/A</v>
      </c>
      <c r="J31" s="970" t="e">
        <f t="array" ref="J31">INDEX(Data,MATCH($C31,Line_Items,0),MATCH($H$6,Fiscal_Periods,0))</f>
        <v>#N/A</v>
      </c>
      <c r="K31" s="969" t="e">
        <f t="array" ref="K31">INDEX(Data,MATCH($C31,Line_Items,0),MATCH(LEFT(K$24,4),Fiscal_Periods,0))</f>
        <v>#N/A</v>
      </c>
      <c r="L31" s="969" t="e">
        <f t="array" ref="L31">INDEX(Data,MATCH($C31,Line_Items,0),MATCH(LEFT(L$24,4),Fiscal_Periods,0))</f>
        <v>#N/A</v>
      </c>
      <c r="M31" s="972" t="str">
        <f t="shared" si="1"/>
        <v>N/A</v>
      </c>
      <c r="N31" s="973" t="str">
        <f t="shared" si="2"/>
        <v>N/A</v>
      </c>
      <c r="O31" s="973" t="str">
        <f t="shared" si="3"/>
        <v>N/A</v>
      </c>
      <c r="P31" s="973" t="str">
        <f t="shared" si="4"/>
        <v>N/A</v>
      </c>
      <c r="Q31" s="8"/>
      <c r="R31" s="8"/>
      <c r="S31" s="4"/>
      <c r="T31" s="4"/>
      <c r="U31" s="4"/>
      <c r="V31" s="4"/>
      <c r="W31" s="4"/>
      <c r="X31" s="4"/>
      <c r="Y31" s="4"/>
      <c r="Z31" s="4"/>
    </row>
    <row r="32" ht="14.25" customHeight="1" spans="1:26" x14ac:dyDescent="0.25">
      <c r="A32" s="8"/>
      <c r="B32" s="8"/>
      <c r="C32" s="8" t="e">
        <f>'Segment Analysis'!#REF!</f>
        <v>#REF!</v>
      </c>
      <c r="D32" s="8"/>
      <c r="E32" s="8"/>
      <c r="F32" s="8"/>
      <c r="G32" s="8"/>
      <c r="H32" s="954" t="e">
        <f t="array" ref="H32">INDEX(Data,MATCH($C32,Line_Items,0),MATCH($H$6,Fiscal_Periods,0))</f>
        <v>#REF!</v>
      </c>
      <c r="I32" s="954" t="e">
        <f t="array" ref="I32">INDEX(Data,MATCH($C32,Line_Items,0),MATCH($H$6,Fiscal_Periods,0))</f>
        <v>#REF!</v>
      </c>
      <c r="J32" s="955">
        <v>820</v>
      </c>
      <c r="K32" s="954" t="e">
        <f t="array" ref="K32">INDEX(Data,MATCH($C32,Line_Items,0),MATCH(LEFT(K$24,4),Fiscal_Periods,0))</f>
        <v>#REF!</v>
      </c>
      <c r="L32" s="954" t="e">
        <f t="array" ref="L32">INDEX(Data,MATCH($C32,Line_Items,0),MATCH(LEFT(L$24,4),Fiscal_Periods,0))</f>
        <v>#REF!</v>
      </c>
      <c r="M32" s="956" t="str">
        <f t="shared" si="1"/>
        <v>N/A</v>
      </c>
      <c r="N32" s="623" t="str">
        <f t="shared" si="2"/>
        <v>N/A</v>
      </c>
      <c r="O32" s="623" t="str">
        <f t="shared" si="3"/>
        <v>N/A</v>
      </c>
      <c r="P32" s="623" t="str">
        <f t="shared" si="4"/>
        <v>N/A</v>
      </c>
      <c r="Q32" s="8"/>
      <c r="R32" s="8"/>
      <c r="S32" s="4"/>
      <c r="T32" s="4"/>
      <c r="U32" s="4"/>
      <c r="V32" s="4"/>
      <c r="W32" s="4"/>
      <c r="X32" s="4"/>
      <c r="Y32" s="4"/>
      <c r="Z32" s="4"/>
    </row>
    <row r="33" ht="14.25" customHeight="1" spans="1:26" x14ac:dyDescent="0.25">
      <c r="A33" s="8"/>
      <c r="B33" s="8"/>
      <c r="C33" s="8" t="e">
        <f>'Segment Analysis'!#REF!</f>
        <v>#REF!</v>
      </c>
      <c r="D33" s="8"/>
      <c r="E33" s="8"/>
      <c r="F33" s="8"/>
      <c r="G33" s="8"/>
      <c r="H33" s="957" t="e">
        <f t="array" ref="H33">INDEX(Data,MATCH($C33,Line_Items,0),MATCH($H$6,Fiscal_Periods,0))</f>
        <v>#REF!</v>
      </c>
      <c r="I33" s="957" t="e">
        <f t="array" ref="I33">INDEX(Data,MATCH($C33,Line_Items,0),MATCH($H$6,Fiscal_Periods,0))</f>
        <v>#REF!</v>
      </c>
      <c r="J33" s="958">
        <v>1400</v>
      </c>
      <c r="K33" s="957" t="e">
        <f t="array" ref="K33">INDEX(Data,MATCH($C33,Line_Items,0),MATCH(LEFT(K$24,4),Fiscal_Periods,0))</f>
        <v>#REF!</v>
      </c>
      <c r="L33" s="957" t="e">
        <f t="array" ref="L33">INDEX(Data,MATCH($C33,Line_Items,0),MATCH(LEFT(L$24,4),Fiscal_Periods,0))</f>
        <v>#REF!</v>
      </c>
      <c r="M33" s="956" t="str">
        <f t="shared" si="1"/>
        <v>N/A</v>
      </c>
      <c r="N33" s="623" t="str">
        <f t="shared" si="2"/>
        <v>N/A</v>
      </c>
      <c r="O33" s="623" t="str">
        <f t="shared" si="3"/>
        <v>N/A</v>
      </c>
      <c r="P33" s="623" t="str">
        <f t="shared" si="4"/>
        <v>N/A</v>
      </c>
      <c r="Q33" s="8"/>
      <c r="R33" s="8"/>
      <c r="S33" s="4"/>
      <c r="T33" s="4"/>
      <c r="U33" s="4"/>
      <c r="V33" s="4"/>
      <c r="W33" s="4"/>
      <c r="X33" s="4"/>
      <c r="Y33" s="4"/>
      <c r="Z33" s="4"/>
    </row>
    <row r="34" ht="14.25" customHeight="1" spans="1:26" x14ac:dyDescent="0.25">
      <c r="A34" s="8"/>
      <c r="B34" s="8"/>
      <c r="C34" s="8" t="e">
        <f>'Segment Analysis'!#REF!</f>
        <v>#REF!</v>
      </c>
      <c r="D34" s="8"/>
      <c r="E34" s="8"/>
      <c r="F34" s="8"/>
      <c r="G34" s="8"/>
      <c r="H34" s="957" t="e">
        <f t="array" ref="H34">INDEX(Data,MATCH($C34,Line_Items,0),MATCH($H$6,Fiscal_Periods,0))</f>
        <v>#REF!</v>
      </c>
      <c r="I34" s="957" t="e">
        <f t="array" ref="I34">INDEX(Data,MATCH($C34,Line_Items,0),MATCH($H$6,Fiscal_Periods,0))</f>
        <v>#REF!</v>
      </c>
      <c r="J34" s="958">
        <v>10</v>
      </c>
      <c r="K34" s="957" t="e">
        <f t="array" ref="K34">INDEX(Data,MATCH($C34,Line_Items,0),MATCH(LEFT(K$24,4),Fiscal_Periods,0))</f>
        <v>#REF!</v>
      </c>
      <c r="L34" s="957" t="e">
        <f t="array" ref="L34">INDEX(Data,MATCH($C34,Line_Items,0),MATCH(LEFT(L$24,4),Fiscal_Periods,0))</f>
        <v>#REF!</v>
      </c>
      <c r="M34" s="956" t="str">
        <f t="shared" si="1"/>
        <v>N/A</v>
      </c>
      <c r="N34" s="623" t="str">
        <f t="shared" si="2"/>
        <v>N/A</v>
      </c>
      <c r="O34" s="623" t="str">
        <f t="shared" si="3"/>
        <v>N/A</v>
      </c>
      <c r="P34" s="623" t="str">
        <f t="shared" si="4"/>
        <v>N/A</v>
      </c>
      <c r="Q34" s="8"/>
      <c r="R34" s="8"/>
      <c r="S34" s="4"/>
      <c r="T34" s="4"/>
      <c r="U34" s="4"/>
      <c r="V34" s="4"/>
      <c r="W34" s="4"/>
      <c r="X34" s="4"/>
      <c r="Y34" s="4"/>
      <c r="Z34" s="4"/>
    </row>
    <row r="35" ht="14.25" customHeight="1" spans="1:26" x14ac:dyDescent="0.25">
      <c r="A35" s="8"/>
      <c r="B35" s="8"/>
      <c r="C35" s="8" t="e">
        <f>'Segment Analysis'!#REF!</f>
        <v>#REF!</v>
      </c>
      <c r="D35" s="8"/>
      <c r="E35" s="8"/>
      <c r="F35" s="8"/>
      <c r="G35" s="8"/>
      <c r="H35" s="957" t="e">
        <f t="array" ref="H35">INDEX(Data,MATCH($C35,Line_Items,0),MATCH($H$6,Fiscal_Periods,0))</f>
        <v>#REF!</v>
      </c>
      <c r="I35" s="957" t="e">
        <f t="array" ref="I35">INDEX(Data,MATCH($C35,Line_Items,0),MATCH($H$6,Fiscal_Periods,0))</f>
        <v>#REF!</v>
      </c>
      <c r="J35" s="958">
        <v>-23</v>
      </c>
      <c r="K35" s="957" t="e">
        <f t="array" ref="K35">INDEX(Data,MATCH($C35,Line_Items,0),MATCH(LEFT(K$24,4),Fiscal_Periods,0))</f>
        <v>#REF!</v>
      </c>
      <c r="L35" s="957" t="e">
        <f t="array" ref="L35">INDEX(Data,MATCH($C35,Line_Items,0),MATCH(LEFT(L$24,4),Fiscal_Periods,0))</f>
        <v>#REF!</v>
      </c>
      <c r="M35" s="956" t="str">
        <f t="shared" si="1"/>
        <v>N/A</v>
      </c>
      <c r="N35" s="623" t="str">
        <f t="shared" si="2"/>
        <v>N/A</v>
      </c>
      <c r="O35" s="623" t="str">
        <f t="shared" si="3"/>
        <v>N/A</v>
      </c>
      <c r="P35" s="623" t="str">
        <f t="shared" si="4"/>
        <v>N/A</v>
      </c>
      <c r="Q35" s="8"/>
      <c r="R35" s="8"/>
      <c r="S35" s="4"/>
      <c r="T35" s="4"/>
      <c r="U35" s="4"/>
      <c r="V35" s="4"/>
      <c r="W35" s="4"/>
      <c r="X35" s="4"/>
      <c r="Y35" s="4"/>
      <c r="Z35" s="4"/>
    </row>
    <row r="36" ht="14.25" customHeight="1" spans="1:26" x14ac:dyDescent="0.25">
      <c r="A36" s="8"/>
      <c r="B36" s="8"/>
      <c r="C36" s="8" t="e">
        <f>'Segment Analysis'!#REF!</f>
        <v>#REF!</v>
      </c>
      <c r="D36" s="8"/>
      <c r="E36" s="8"/>
      <c r="F36" s="8"/>
      <c r="G36" s="8"/>
      <c r="H36" s="957" t="e">
        <f t="array" ref="H36">INDEX(Data,MATCH($C36,Line_Items,0),MATCH($H$6,Fiscal_Periods,0))</f>
        <v>#REF!</v>
      </c>
      <c r="I36" s="957" t="e">
        <f t="array" ref="I36">INDEX(Data,MATCH($C36,Line_Items,0),MATCH($H$6,Fiscal_Periods,0))</f>
        <v>#REF!</v>
      </c>
      <c r="J36" s="958">
        <v>650</v>
      </c>
      <c r="K36" s="957" t="e">
        <f t="array" ref="K36">INDEX(Data,MATCH($C36,Line_Items,0),MATCH(LEFT(K$24,4),Fiscal_Periods,0))</f>
        <v>#REF!</v>
      </c>
      <c r="L36" s="957" t="e">
        <f t="array" ref="L36">INDEX(Data,MATCH($C36,Line_Items,0),MATCH(LEFT(L$24,4),Fiscal_Periods,0))</f>
        <v>#REF!</v>
      </c>
      <c r="M36" s="956" t="str">
        <f t="shared" si="1"/>
        <v>N/A</v>
      </c>
      <c r="N36" s="623" t="str">
        <f t="shared" si="2"/>
        <v>N/A</v>
      </c>
      <c r="O36" s="623" t="str">
        <f t="shared" si="3"/>
        <v>N/A</v>
      </c>
      <c r="P36" s="623" t="str">
        <f t="shared" si="4"/>
        <v>N/A</v>
      </c>
      <c r="Q36" s="8"/>
      <c r="R36" s="8"/>
      <c r="S36" s="4"/>
      <c r="T36" s="4"/>
      <c r="U36" s="4"/>
      <c r="V36" s="4"/>
      <c r="W36" s="4"/>
      <c r="X36" s="4"/>
      <c r="Y36" s="4"/>
      <c r="Z36" s="4"/>
    </row>
    <row r="37" ht="14.25" customHeight="1" spans="1:26" x14ac:dyDescent="0.25">
      <c r="A37" s="8"/>
      <c r="B37" s="8"/>
      <c r="C37" s="8" t="e">
        <f>'Segment Analysis'!#REF!</f>
        <v>#REF!</v>
      </c>
      <c r="D37" s="8"/>
      <c r="E37" s="8"/>
      <c r="F37" s="8"/>
      <c r="G37" s="8"/>
      <c r="H37" s="957" t="e">
        <f t="array" ref="H37">INDEX(Data,MATCH($C37,Line_Items,0),MATCH($H$6,Fiscal_Periods,0))</f>
        <v>#REF!</v>
      </c>
      <c r="I37" s="957" t="e">
        <f t="array" ref="I37">INDEX(Data,MATCH($C37,Line_Items,0),MATCH($H$6,Fiscal_Periods,0))</f>
        <v>#REF!</v>
      </c>
      <c r="J37" s="958">
        <v>300</v>
      </c>
      <c r="K37" s="957" t="e">
        <f t="array" ref="K37">INDEX(Data,MATCH($C37,Line_Items,0),MATCH(LEFT(K$24,4),Fiscal_Periods,0))</f>
        <v>#REF!</v>
      </c>
      <c r="L37" s="957" t="e">
        <f t="array" ref="L37">INDEX(Data,MATCH($C37,Line_Items,0),MATCH(LEFT(L$24,4),Fiscal_Periods,0))</f>
        <v>#REF!</v>
      </c>
      <c r="M37" s="956" t="str">
        <f t="shared" si="1"/>
        <v>N/A</v>
      </c>
      <c r="N37" s="623" t="str">
        <f t="shared" si="2"/>
        <v>N/A</v>
      </c>
      <c r="O37" s="623" t="str">
        <f t="shared" si="3"/>
        <v>N/A</v>
      </c>
      <c r="P37" s="623" t="str">
        <f t="shared" si="4"/>
        <v>N/A</v>
      </c>
      <c r="Q37" s="8"/>
      <c r="R37" s="8"/>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57" t="s">
        <v>3</v>
      </c>
      <c r="C40" s="101" t="str">
        <f>Ticker&amp;" "&amp;H4&amp;RIGHT(H5,2)&amp;" Cash Flow Results"</f>
        <v>RSG 4Q26 Cash Flow Results</v>
      </c>
      <c r="D40" s="101"/>
      <c r="E40" s="101"/>
      <c r="F40" s="101"/>
      <c r="G40" s="101"/>
      <c r="H40" s="102" t="str">
        <f t="shared" ref="H40:P40" si="5">H10</f>
        <v>4Q26a</v>
      </c>
      <c r="I40" s="102" t="str">
        <f t="shared" si="5"/>
        <v>OFe</v>
      </c>
      <c r="J40" s="102" t="str">
        <f t="shared" si="5"/>
        <v>Consensus</v>
      </c>
      <c r="K40" s="102" t="str">
        <f t="shared" si="5"/>
        <v>4Q25a</v>
      </c>
      <c r="L40" s="102" t="str">
        <f t="shared" si="5"/>
        <v>4Q26a</v>
      </c>
      <c r="M40" s="953" t="str">
        <f t="shared" si="5"/>
        <v>v. OFe</v>
      </c>
      <c r="N40" s="102" t="str">
        <f t="shared" si="5"/>
        <v>v. Consensus</v>
      </c>
      <c r="O40" s="102" t="str">
        <f t="shared" si="5"/>
        <v>v. 4Q25a</v>
      </c>
      <c r="P40" s="102" t="str">
        <f t="shared" si="5"/>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Model!C82</f>
        <v>Net Cash From Operating Activities</v>
      </c>
      <c r="D42" s="8"/>
      <c r="E42" s="8"/>
      <c r="F42" s="8"/>
      <c r="G42" s="8"/>
      <c r="H42" s="954">
        <f t="array" ref="H42">INDEX(Data,MATCH($C42,Line_Items,0),MATCH($H$6,Fiscal_Periods,0))</f>
        <v>794.4357219454785</v>
      </c>
      <c r="I42" s="954">
        <f t="array" ref="I42">INDEX(Data,MATCH($C42,Line_Items,0),MATCH($H$6,Fiscal_Periods,0))</f>
        <v>794.4357219454785</v>
      </c>
      <c r="J42" s="955">
        <v>50</v>
      </c>
      <c r="K42" s="954">
        <f t="array" ref="K42">INDEX(Data,MATCH($C42,Line_Items,0),MATCH(LEFT(K$40,4),Fiscal_Periods,0))</f>
        <v>0</v>
      </c>
      <c r="L42" s="954" t="e">
        <f t="array" ref="L42">INDEX(Data,MATCH($C42,Line_Items,0),MATCH(LEFT(L$40,4),Fiscal_Periods,0))</f>
        <v>#N/A</v>
      </c>
      <c r="M42" s="956">
        <f t="shared" ref="M42:N44" si="6">IFERROR($H42/I42-1,"N/A")</f>
        <v>0</v>
      </c>
      <c r="N42" s="623">
        <f t="shared" si="6"/>
        <v>14.888714438909568</v>
      </c>
      <c r="O42" s="623" t="str">
        <f t="shared" ref="O42:P44" si="7">IFERROR($I42/K42-1,"N/A")</f>
        <v>N/A</v>
      </c>
      <c r="P42" s="623" t="str">
        <f t="shared" si="7"/>
        <v>N/A</v>
      </c>
      <c r="Q42" s="8"/>
      <c r="R42" s="8"/>
      <c r="S42" s="4"/>
      <c r="T42" s="4"/>
      <c r="U42" s="4"/>
      <c r="V42" s="4"/>
      <c r="W42" s="4"/>
      <c r="X42" s="4"/>
      <c r="Y42" s="4"/>
      <c r="Z42" s="4"/>
    </row>
    <row r="43" ht="14.25" customHeight="1" spans="1:26" x14ac:dyDescent="0.25">
      <c r="A43" s="8"/>
      <c r="B43" s="8"/>
      <c r="C43" s="8" t="str">
        <f>Model!C84</f>
        <v>Capital Expenditures</v>
      </c>
      <c r="D43" s="8"/>
      <c r="E43" s="8"/>
      <c r="F43" s="8"/>
      <c r="G43" s="8"/>
      <c r="H43" s="957">
        <f t="array" ref="H43">INDEX(Data,MATCH($C43,Line_Items,0),MATCH($H$6,Fiscal_Periods,0))</f>
        <v>-527.8620377467499</v>
      </c>
      <c r="I43" s="957">
        <f t="array" ref="I43">INDEX(Data,MATCH($C43,Line_Items,0),MATCH($H$6,Fiscal_Periods,0))</f>
        <v>-527.8620377467499</v>
      </c>
      <c r="J43" s="958">
        <v>-668</v>
      </c>
      <c r="K43" s="957">
        <f t="array" ref="K43">INDEX(Data,MATCH($C43,Line_Items,0),MATCH(LEFT(K$40,4),Fiscal_Periods,0))</f>
        <v>0</v>
      </c>
      <c r="L43" s="957" t="e">
        <f t="array" ref="L43">INDEX(Data,MATCH($C43,Line_Items,0),MATCH(LEFT(L$40,4),Fiscal_Periods,0))</f>
        <v>#N/A</v>
      </c>
      <c r="M43" s="956">
        <f t="shared" si="6"/>
        <v>0</v>
      </c>
      <c r="N43" s="623">
        <f t="shared" si="6"/>
        <v>-0.20978736864258996</v>
      </c>
      <c r="O43" s="623" t="str">
        <f t="shared" si="7"/>
        <v>N/A</v>
      </c>
      <c r="P43" s="623" t="str">
        <f t="shared" si="7"/>
        <v>N/A</v>
      </c>
      <c r="Q43" s="8"/>
      <c r="R43" s="8"/>
      <c r="S43" s="4"/>
      <c r="T43" s="4"/>
      <c r="U43" s="4"/>
      <c r="V43" s="4"/>
      <c r="W43" s="4"/>
      <c r="X43" s="4"/>
      <c r="Y43" s="4"/>
      <c r="Z43" s="4"/>
    </row>
    <row r="44" ht="14.25" customHeight="1" spans="1:26" x14ac:dyDescent="0.25">
      <c r="A44" s="8"/>
      <c r="B44" s="8"/>
      <c r="C44" s="8" t="str">
        <f>Model!C115</f>
        <v>Free Cash Flow (FCF)</v>
      </c>
      <c r="D44" s="8"/>
      <c r="E44" s="8"/>
      <c r="F44" s="8"/>
      <c r="G44" s="8"/>
      <c r="H44" s="957">
        <f t="array" ref="H44">INDEX(Data,MATCH($C44,Line_Items,0),MATCH($H$6,Fiscal_Periods,0))</f>
        <v>1565.6381192283075</v>
      </c>
      <c r="I44" s="957">
        <f t="array" ref="I44">INDEX(Data,MATCH($C44,Line_Items,0),MATCH($H$6,Fiscal_Periods,0))</f>
        <v>1565.6381192283075</v>
      </c>
      <c r="J44" s="958">
        <v>1412.6</v>
      </c>
      <c r="K44" s="957">
        <f t="array" ref="K44">INDEX(Data,MATCH($C44,Line_Items,0),MATCH(LEFT(K$40,4),Fiscal_Periods,0))</f>
        <v>4136</v>
      </c>
      <c r="L44" s="957" t="e">
        <f t="array" ref="L44">INDEX(Data,MATCH($C44,Line_Items,0),MATCH(LEFT(L$40,4),Fiscal_Periods,0))</f>
        <v>#N/A</v>
      </c>
      <c r="M44" s="956">
        <f t="shared" si="6"/>
        <v>0</v>
      </c>
      <c r="N44" s="623">
        <f t="shared" si="6"/>
        <v>0.10833790119517728</v>
      </c>
      <c r="O44" s="623">
        <f t="shared" si="7"/>
        <v>-0.47917962834626016</v>
      </c>
      <c r="P44" s="623" t="str">
        <f t="shared" si="7"/>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3" priority="1">
      <formula>$H$8="Report"</formula>
    </cfRule>
  </conditionalFormatting>
  <conditionalFormatting sqref="H26:L37">
    <cfRule type="expression" dxfId="134" priority="2">
      <formula>$H$8="Report"</formula>
    </cfRule>
  </conditionalFormatting>
  <conditionalFormatting sqref="H42:L44">
    <cfRule type="expression" dxfId="135" priority="3">
      <formula>$H$8="Report"</formula>
    </cfRule>
  </conditionalFormatting>
  <conditionalFormatting sqref="I13 K13:L13 J16 J18">
    <cfRule type="expression" dxfId="136" priority="4">
      <formula>$H$8="Report"</formula>
    </cfRule>
  </conditionalFormatting>
  <conditionalFormatting sqref="I15:I19">
    <cfRule type="expression" dxfId="137" priority="5">
      <formula>$H$8="Report"</formula>
    </cfRule>
  </conditionalFormatting>
  <conditionalFormatting sqref="I12:L15">
    <cfRule type="expression" dxfId="138" priority="6">
      <formula>$H$8="Report"</formula>
    </cfRule>
  </conditionalFormatting>
  <conditionalFormatting sqref="I17:L17">
    <cfRule type="expression" dxfId="139" priority="7">
      <formula>$H$8="Report"</formula>
    </cfRule>
  </conditionalFormatting>
  <conditionalFormatting sqref="I19:L21">
    <cfRule type="expression" dxfId="140" priority="8">
      <formula>$H$8="Report"</formula>
    </cfRule>
  </conditionalFormatting>
  <conditionalFormatting sqref="K15:L19">
    <cfRule type="expression" dxfId="141" priority="9">
      <formula>$H$8="Report"</formula>
    </cfRule>
  </conditionalFormatting>
  <conditionalFormatting sqref="K43:L44">
    <cfRule type="expression" dxfId="142" priority="10">
      <formula>$H$8="Report"</formula>
    </cfRule>
  </conditionalFormatting>
  <conditionalFormatting sqref="M12:P21">
    <cfRule type="cellIs" dxfId="143" priority="11" operator="lessThan">
      <formula>0</formula>
    </cfRule>
    <cfRule type="cellIs" dxfId="144" priority="12" operator="greaterThan">
      <formula>0</formula>
    </cfRule>
  </conditionalFormatting>
  <conditionalFormatting sqref="M26:P37">
    <cfRule type="cellIs" dxfId="145" priority="13" operator="lessThan">
      <formula>0</formula>
    </cfRule>
    <cfRule type="cellIs" dxfId="146" priority="14" operator="greaterThan">
      <formula>0</formula>
    </cfRule>
  </conditionalFormatting>
  <conditionalFormatting sqref="M42:P44">
    <cfRule type="cellIs" dxfId="147" priority="15" operator="lessThan">
      <formula>0</formula>
    </cfRule>
    <cfRule type="cellIs" dxfId="148"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1"/>
  <sheetViews>
    <sheetView workbookViewId="0" zoomScale="100" zoomScaleNormal="100"/>
  </sheetViews>
  <sheetFormatPr defaultRowHeight="15" outlineLevelRow="0" outlineLevelCol="0" x14ac:dyDescent="0" defaultColWidth="8.83203125"/>
  <sheetData>
    <row r="1" spans="1:104" x14ac:dyDescent="0.25">
      <c r="A1">
        <v>104</v>
      </c>
      <c r="B1" t="s">
        <v>494</v>
      </c>
      <c r="C1" t="s">
        <v>495</v>
      </c>
      <c r="D1" t="s">
        <v>496</v>
      </c>
      <c r="E1" t="s">
        <v>497</v>
      </c>
      <c r="F1" t="s">
        <v>498</v>
      </c>
      <c r="G1" t="s">
        <v>499</v>
      </c>
      <c r="H1" t="s">
        <v>500</v>
      </c>
      <c r="I1" t="s">
        <v>501</v>
      </c>
      <c r="J1" t="s">
        <v>502</v>
      </c>
      <c r="K1" t="s">
        <v>503</v>
      </c>
      <c r="L1" t="s">
        <v>504</v>
      </c>
      <c r="M1" t="s">
        <v>505</v>
      </c>
      <c r="N1" t="s">
        <v>506</v>
      </c>
      <c r="O1" t="s">
        <v>507</v>
      </c>
      <c r="P1" t="s">
        <v>508</v>
      </c>
      <c r="Q1" t="s">
        <v>509</v>
      </c>
      <c r="R1" t="s">
        <v>510</v>
      </c>
      <c r="S1" t="s">
        <v>511</v>
      </c>
      <c r="T1" t="s">
        <v>512</v>
      </c>
      <c r="U1" t="s">
        <v>513</v>
      </c>
      <c r="V1" t="s">
        <v>514</v>
      </c>
      <c r="W1" t="s">
        <v>515</v>
      </c>
      <c r="X1" t="s">
        <v>516</v>
      </c>
      <c r="Y1" t="s">
        <v>517</v>
      </c>
      <c r="Z1" t="s">
        <v>518</v>
      </c>
      <c r="AA1" t="s">
        <v>519</v>
      </c>
      <c r="AB1" t="s">
        <v>520</v>
      </c>
      <c r="AC1" t="s">
        <v>521</v>
      </c>
      <c r="AD1" t="s">
        <v>522</v>
      </c>
      <c r="AE1" t="s">
        <v>523</v>
      </c>
      <c r="AF1" t="s">
        <v>524</v>
      </c>
      <c r="AG1" t="s">
        <v>525</v>
      </c>
      <c r="AH1" t="s">
        <v>526</v>
      </c>
      <c r="AI1" t="s">
        <v>527</v>
      </c>
      <c r="AJ1" t="s">
        <v>528</v>
      </c>
      <c r="AK1" t="s">
        <v>529</v>
      </c>
      <c r="AL1" t="s">
        <v>530</v>
      </c>
      <c r="AM1" t="s">
        <v>531</v>
      </c>
      <c r="AN1" t="s">
        <v>532</v>
      </c>
      <c r="AO1" t="s">
        <v>533</v>
      </c>
      <c r="AP1" t="s">
        <v>534</v>
      </c>
      <c r="AQ1" t="s">
        <v>535</v>
      </c>
      <c r="AR1" t="s">
        <v>536</v>
      </c>
      <c r="AS1" t="s">
        <v>537</v>
      </c>
      <c r="AT1" t="s">
        <v>538</v>
      </c>
      <c r="AU1" t="s">
        <v>539</v>
      </c>
      <c r="AV1" t="s">
        <v>540</v>
      </c>
      <c r="AW1" t="s">
        <v>541</v>
      </c>
      <c r="AX1" t="s">
        <v>542</v>
      </c>
      <c r="AY1" t="s">
        <v>543</v>
      </c>
      <c r="AZ1" t="s">
        <v>544</v>
      </c>
      <c r="BA1" t="s">
        <v>545</v>
      </c>
      <c r="BB1" t="s">
        <v>546</v>
      </c>
      <c r="BC1" t="s">
        <v>547</v>
      </c>
      <c r="BD1" t="s">
        <v>548</v>
      </c>
      <c r="BE1" t="s">
        <v>549</v>
      </c>
      <c r="BF1" t="s">
        <v>550</v>
      </c>
      <c r="BG1" t="s">
        <v>551</v>
      </c>
      <c r="BH1" t="s">
        <v>552</v>
      </c>
      <c r="BI1" t="s">
        <v>553</v>
      </c>
      <c r="BJ1" t="s">
        <v>554</v>
      </c>
      <c r="BK1" t="s">
        <v>555</v>
      </c>
      <c r="BL1" t="s">
        <v>556</v>
      </c>
      <c r="BM1" t="s">
        <v>557</v>
      </c>
      <c r="BN1" t="s">
        <v>558</v>
      </c>
      <c r="BO1" t="s">
        <v>559</v>
      </c>
      <c r="BP1" t="s">
        <v>560</v>
      </c>
      <c r="BQ1" t="s">
        <v>561</v>
      </c>
      <c r="BR1" t="s">
        <v>562</v>
      </c>
      <c r="BS1" t="s">
        <v>563</v>
      </c>
      <c r="BT1" t="s">
        <v>564</v>
      </c>
      <c r="BU1" t="s">
        <v>565</v>
      </c>
      <c r="BV1" t="s">
        <v>566</v>
      </c>
      <c r="BW1" t="s">
        <v>567</v>
      </c>
      <c r="BX1" t="s">
        <v>568</v>
      </c>
      <c r="BY1" t="s">
        <v>569</v>
      </c>
      <c r="BZ1" t="s">
        <v>570</v>
      </c>
      <c r="CA1" t="s">
        <v>571</v>
      </c>
      <c r="CB1" t="s">
        <v>572</v>
      </c>
      <c r="CC1" t="s">
        <v>573</v>
      </c>
      <c r="CD1" t="s">
        <v>574</v>
      </c>
      <c r="CE1" t="s">
        <v>575</v>
      </c>
      <c r="CF1" t="s">
        <v>576</v>
      </c>
      <c r="CG1" t="s">
        <v>577</v>
      </c>
      <c r="CH1" t="s">
        <v>578</v>
      </c>
      <c r="CI1" t="s">
        <v>579</v>
      </c>
      <c r="CJ1" t="s">
        <v>580</v>
      </c>
      <c r="CK1" t="s">
        <v>581</v>
      </c>
      <c r="CL1" t="s">
        <v>582</v>
      </c>
      <c r="CM1" t="s">
        <v>583</v>
      </c>
      <c r="CN1" t="s">
        <v>584</v>
      </c>
      <c r="CO1" t="s">
        <v>585</v>
      </c>
      <c r="CP1" t="s">
        <v>586</v>
      </c>
      <c r="CQ1" t="s">
        <v>587</v>
      </c>
      <c r="CR1" t="s">
        <v>588</v>
      </c>
      <c r="CS1" t="s">
        <v>589</v>
      </c>
      <c r="CT1" t="s">
        <v>590</v>
      </c>
      <c r="CU1" t="s">
        <v>591</v>
      </c>
      <c r="CV1" t="s">
        <v>592</v>
      </c>
      <c r="CW1" t="s">
        <v>593</v>
      </c>
      <c r="CX1" t="s">
        <v>594</v>
      </c>
      <c r="CY1" t="s">
        <v>595</v>
      </c>
      <c r="CZ1"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Comparables</vt:lpstr>
      <vt:lpstr>CIQ ID Locater</vt:lpstr>
      <vt:lpstr>WACC</vt:lpstr>
      <vt:lpstr>Valuation</vt:lpstr>
      <vt:lpstr>Charts</vt:lpstr>
      <vt:lpstr>Multiples Data</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Industrials Team</dc:creator>
  <dc:title>Republic Services, Inc. (RSG)_Valuation Workbook (4-May-2026)</dc:title>
  <dc:subject>Republic Services, Inc. (RSG)_Valuation Workbook (4-May-2026)</dc:subject>
  <cp:lastModifiedBy>Max Malik Schmieder</cp:lastModifiedBy>
  <cp:lastPrinted>2026-02-06T00:30:35Z</cp:lastPrinted>
  <dcterms:created xsi:type="dcterms:W3CDTF">2019-08-15T14:34:41Z</dcterms:created>
  <dcterms:modified xsi:type="dcterms:W3CDTF">2026-05-18T21:50:25Z</dcterms:modified>
</cp:coreProperties>
</file>